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gtMUaqtgm/4LlosognsZIDAcgBDtIAut3uCLz+dVXGNnlvv1HyCgDo2274vyb5h4Ra3N9FGTeNIk7c6WrAjB4g==" workbookSaltValue="FEs0Z3b94FBbbTiqfqGhz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M32" i="20"/>
  <c r="AM32" i="20"/>
  <c r="J32" i="20"/>
  <c r="AK32" i="20"/>
  <c r="U12" i="11"/>
  <c r="AZ32" i="20"/>
  <c r="R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O18" i="11"/>
  <c r="W32" i="20"/>
  <c r="BF16" i="8" l="1"/>
  <c r="R8" i="9"/>
  <c r="T9" i="11" s="1"/>
  <c r="BG17" i="13"/>
  <c r="X12" i="2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6" i="12" l="1"/>
  <c r="I10" i="12"/>
  <c r="BF23" i="13"/>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L22" i="11"/>
  <c r="BI22" i="11"/>
  <c r="BH25" i="11"/>
  <c r="BK10" i="11"/>
  <c r="BI21" i="11"/>
  <c r="L10" i="2"/>
  <c r="X21"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17" i="11"/>
  <c r="AQ12" i="21"/>
  <c r="L28" i="2"/>
  <c r="L16" i="2"/>
  <c r="L9" i="2"/>
  <c r="V25" i="16"/>
  <c r="L17" i="2"/>
  <c r="AA11" i="16"/>
  <c r="L18" i="2"/>
  <c r="X16" i="16"/>
  <c r="X23" i="16"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Z31" i="11"/>
  <c r="AZ14" i="11"/>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<sst xmlns="http://schemas.openxmlformats.org/spreadsheetml/2006/main" count="2682" uniqueCount="1193">
  <si>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</si>
  <si>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</si>
  <si>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</si>
  <si>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</si>
  <si>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</si>
  <si>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</si>
  <si>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</si>
  <si>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</si>
  <si>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</si>
  <si>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</si>
  <si>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</si>
  <si>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</si>
  <si>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</si>
  <si>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</si>
  <si>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</si>
  <si>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</si>
  <si>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</si>
  <si>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</si>
  <si>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</si>
  <si>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</si>
  <si>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</si>
  <si>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</si>
  <si>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</si>
  <si>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</si>
  <si>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</si>
  <si>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</si>
  <si>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</si>
  <si>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</si>
  <si>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</si>
  <si>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</si>
  <si>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</si>
  <si>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</si>
  <si>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</si>
  <si>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</si>
  <si>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</si>
  <si>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</si>
  <si>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</si>
  <si>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</si>
  <si>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</si>
  <si>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</si>
  <si>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</si>
  <si>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</si>
  <si>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</si>
  <si>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</si>
  <si>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</si>
  <si>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</si>
  <si>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</si>
  <si>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</si>
  <si>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</si>
  <si>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</si>
  <si>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</si>
  <si>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</si>
  <si>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</si>
  <si>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</si>
  <si>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</si>
  <si>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</si>
  <si>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</si>
  <si>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</si>
  <si>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</si>
  <si>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</si>
  <si>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</si>
  <si>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</si>
  <si>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</si>
  <si>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</si>
  <si>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</si>
  <si>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</si>
  <si>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</si>
  <si>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</si>
  <si>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</si>
  <si>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</si>
  <si>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</si>
  <si>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</si>
  <si>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</si>
  <si>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</si>
  <si>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</si>
  <si>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</si>
  <si>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</si>
  <si>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</si>
  <si>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</si>
  <si>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</si>
  <si>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</si>
  <si>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</si>
  <si>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</si>
  <si>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</si>
  <si>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</si>
  <si>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</si>
  <si>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</si>
  <si>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</si>
  <si>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</si>
  <si>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</si>
  <si>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</si>
  <si>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</si>
  <si>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</si>
  <si>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</si>
  <si>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</si>
  <si>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</si>
  <si>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</si>
  <si>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</si>
  <si>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</si>
  <si>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</si>
  <si>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</si>
  <si>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</si>
  <si>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</si>
  <si>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</si>
  <si>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</si>
  <si>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</si>
  <si>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</si>
  <si>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</si>
  <si>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</si>
  <si>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</si>
  <si>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</si>
  <si>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</si>
  <si>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</si>
  <si>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</si>
  <si>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</si>
  <si>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</si>
  <si>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</si>
  <si>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</si>
  <si>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</si>
  <si>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</si>
  <si>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</si>
  <si>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</si>
  <si>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</si>
  <si>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</si>
  <si>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</si>
  <si>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</si>
  <si>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</si>
  <si>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</si>
  <si>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</si>
  <si>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</si>
  <si>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</si>
  <si>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</si>
  <si>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</si>
  <si>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</si>
  <si>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</si>
  <si>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</si>
  <si>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</si>
  <si>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</si>
  <si>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</si>
  <si>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</si>
  <si>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</si>
  <si>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</si>
  <si>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</si>
  <si>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</si>
  <si>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</si>
  <si>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</si>
  <si>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</si>
  <si>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</si>
  <si>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</si>
  <si>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</si>
  <si>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</si>
  <si>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</si>
  <si>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</si>
  <si>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</si>
  <si>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</si>
  <si>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</si>
  <si>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</si>
  <si>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</si>
  <si>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</si>
  <si>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</si>
  <si>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</si>
  <si>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</si>
  <si>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</si>
  <si>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</si>
  <si>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</si>
  <si>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</si>
  <si>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</si>
  <si>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</si>
  <si>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</si>
  <si>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</si>
  <si>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</si>
  <si>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</si>
  <si>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</si>
  <si>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</si>
  <si>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</si>
  <si>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</si>
  <si>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</si>
  <si>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</si>
  <si>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</si>
  <si>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</si>
  <si>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</si>
  <si>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</si>
  <si>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</si>
  <si>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</si>
  <si>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</si>
  <si>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</si>
  <si>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</si>
  <si>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</si>
  <si>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</si>
  <si>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</si>
  <si>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</si>
  <si>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</si>
  <si>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</si>
  <si>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</si>
  <si>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</si>
  <si>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</si>
  <si>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</si>
  <si>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</si>
  <si>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</si>
  <si>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</si>
  <si>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</si>
  <si>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</si>
  <si>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</si>
  <si>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</si>
  <si>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</si>
  <si>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</si>
  <si>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</si>
  <si>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</si>
  <si>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</si>
  <si>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</si>
  <si>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</si>
  <si>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</si>
  <si>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</si>
  <si>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</si>
  <si>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</si>
  <si>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</si>
  <si>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</si>
  <si>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</si>
  <si>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</si>
  <si>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</si>
  <si>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</si>
  <si>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</si>
  <si>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</si>
  <si>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</si>
  <si>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</si>
  <si>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</si>
  <si>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</si>
  <si>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</si>
  <si>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</si>
  <si>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</si>
  <si>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</si>
  <si>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</si>
  <si>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</si>
  <si>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</si>
  <si>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</si>
  <si>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</si>
  <si>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</si>
  <si>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</si>
  <si>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</si>
  <si>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</si>
  <si>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</si>
  <si>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</si>
  <si>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</si>
  <si>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</si>
  <si>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</si>
  <si>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</si>
  <si>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</si>
  <si>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</si>
  <si>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</si>
  <si>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</si>
  <si>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</si>
  <si>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</si>
  <si>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</si>
  <si>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</si>
  <si>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</si>
  <si>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</si>
  <si>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</si>
  <si>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</si>
  <si>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</si>
  <si>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</si>
  <si>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</si>
  <si>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</si>
  <si>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</si>
  <si>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</si>
  <si>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</si>
  <si>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</si>
  <si>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</si>
  <si>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</si>
  <si>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</si>
  <si>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</si>
  <si>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</si>
  <si>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</si>
  <si>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</si>
  <si>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</si>
  <si>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</si>
  <si>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</si>
  <si>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</si>
  <si>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</si>
  <si>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</si>
  <si>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</si>
  <si>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</si>
  <si>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</si>
  <si>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</si>
  <si>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</si>
  <si>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</si>
  <si>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</si>
  <si>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</si>
  <si>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</si>
  <si>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</si>
  <si>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</si>
  <si>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</si>
  <si>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</si>
  <si>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</si>
  <si>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</si>
  <si>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</si>
  <si>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</si>
  <si>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</si>
  <si>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</si>
  <si>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</si>
  <si>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</si>
  <si>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</si>
  <si>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</si>
  <si>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</si>
  <si>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</si>
  <si>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</si>
  <si>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</si>
  <si>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</si>
  <si>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</si>
  <si>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</si>
  <si>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</si>
  <si>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</si>
  <si>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</si>
  <si>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</si>
  <si>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</si>
  <si>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</si>
  <si>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</si>
  <si>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</si>
  <si>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</si>
  <si>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</si>
  <si>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</si>
  <si>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</si>
  <si>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</si>
  <si>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</si>
  <si>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</si>
  <si>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</si>
  <si>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</si>
  <si>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</si>
  <si>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</si>
  <si>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</si>
  <si>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</si>
  <si>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</si>
  <si>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</si>
  <si>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</si>
  <si>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</si>
  <si>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</si>
  <si>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</si>
  <si>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</si>
  <si>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</si>
  <si>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</si>
  <si>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</si>
  <si>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</si>
  <si>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</si>
  <si>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</si>
  <si>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</si>
  <si>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</si>
  <si>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</si>
  <si>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</si>
  <si>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</si>
  <si>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</si>
  <si>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</si>
  <si>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</si>
  <si>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</si>
  <si>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</si>
  <si>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</si>
  <si>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</si>
  <si>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</si>
  <si>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</si>
  <si>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</si>
  <si>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</si>
  <si>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</si>
  <si>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</si>
  <si>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</si>
  <si>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</si>
  <si>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</si>
  <si>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</si>
  <si>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</si>
  <si>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</si>
  <si>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</si>
  <si>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</si>
  <si>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</si>
  <si>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</si>
  <si>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</si>
  <si>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</si>
  <si>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</si>
  <si>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</si>
  <si>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</si>
  <si>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</si>
  <si>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</si>
  <si>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</si>
  <si>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</si>
  <si>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</si>
  <si>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</si>
  <si>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</si>
  <si>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</si>
  <si>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</si>
  <si>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</si>
  <si>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</si>
  <si>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</si>
  <si>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</si>
  <si>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</si>
  <si>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</si>
  <si>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</si>
  <si>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</si>
  <si>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</si>
  <si>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</si>
  <si>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</si>
  <si>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</si>
  <si>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</si>
  <si>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</si>
  <si>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</si>
  <si>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</si>
  <si>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</si>
  <si>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</si>
  <si>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</si>
  <si>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</si>
  <si>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</si>
  <si>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</si>
  <si>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</si>
  <si>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</si>
  <si>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</si>
  <si>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</si>
  <si>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</si>
  <si>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</si>
  <si>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</si>
  <si>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</si>
  <si>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</si>
  <si>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</si>
  <si>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</si>
  <si>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</si>
  <si>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</si>
  <si>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</si>
  <si>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</si>
  <si>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</si>
  <si>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</si>
  <si>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</si>
  <si>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</si>
  <si>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</si>
  <si>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</si>
  <si>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</si>
  <si>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</si>
  <si>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</si>
  <si>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</si>
  <si>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</si>
  <si>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</si>
  <si>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</si>
  <si>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</si>
  <si>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</si>
  <si>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</si>
  <si>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</si>
  <si>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</si>
  <si>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</si>
  <si>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</si>
  <si>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</si>
  <si>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</si>
  <si>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</si>
  <si>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</si>
  <si>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</si>
  <si>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</si>
  <si>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</si>
  <si>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</si>
  <si>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</si>
  <si>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</si>
  <si>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</si>
  <si>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</si>
  <si>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</si>
  <si>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</si>
  <si>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</si>
  <si>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</si>
  <si>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</si>
  <si>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</si>
  <si>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</si>
  <si>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</si>
  <si>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</si>
  <si>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</si>
  <si>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</si>
  <si>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</si>
  <si>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</si>
  <si>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</si>
  <si>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</si>
  <si>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</si>
  <si>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</si>
  <si>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</si>
  <si>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</si>
  <si>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</si>
  <si>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</si>
  <si>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</si>
  <si>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</si>
  <si>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</si>
  <si>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</si>
  <si>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</si>
  <si>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</si>
  <si>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</si>
  <si>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</si>
  <si>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</si>
  <si>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</si>
  <si>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</si>
  <si>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</si>
  <si>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</si>
  <si>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</si>
  <si>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</si>
  <si>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</si>
  <si>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</si>
  <si>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</si>
  <si>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</si>
  <si>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</si>
  <si>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</si>
  <si>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</si>
  <si>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</si>
  <si>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</si>
  <si>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</si>
  <si>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</si>
  <si>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</si>
  <si>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</si>
  <si>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</si>
  <si>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</si>
  <si>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</si>
  <si>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</si>
  <si>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</si>
  <si>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</si>
  <si>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</si>
  <si>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</si>
  <si>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</si>
  <si>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</si>
  <si>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</si>
  <si>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</si>
  <si>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</si>
  <si>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</si>
  <si>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</si>
  <si>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</si>
  <si>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</si>
  <si>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</si>
  <si>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</si>
  <si>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</si>
  <si>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</si>
  <si>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</si>
  <si>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</si>
  <si>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</si>
  <si>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</si>
  <si>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</si>
  <si>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</si>
  <si>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</si>
  <si>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</si>
  <si>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</si>
  <si>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</si>
  <si>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</si>
  <si>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</si>
  <si>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</si>
  <si>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</si>
  <si>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</si>
  <si>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</si>
  <si>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</si>
  <si>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</si>
  <si>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</si>
  <si>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</si>
  <si>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</si>
  <si>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</si>
  <si>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</si>
  <si>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</si>
  <si>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</si>
  <si>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</si>
  <si>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</si>
  <si>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</si>
  <si>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</si>
  <si>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</si>
  <si>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</si>
  <si>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</si>
  <si>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</si>
  <si>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</si>
  <si>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</si>
  <si>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</si>
  <si>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</si>
  <si>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</si>
  <si>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</si>
  <si>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</si>
  <si>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</si>
  <si>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</si>
  <si>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</si>
  <si>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</si>
  <si>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</si>
  <si>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</si>
  <si>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</si>
  <si>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</si>
  <si>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</si>
  <si>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</si>
  <si>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</si>
  <si>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</si>
  <si>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</si>
  <si>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</si>
  <si>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</si>
  <si>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</si>
  <si>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</si>
  <si>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</si>
  <si>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</si>
  <si>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</si>
  <si>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</si>
  <si>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</si>
  <si>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</si>
  <si>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</si>
  <si>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</si>
  <si>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</si>
  <si>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</si>
  <si>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</si>
  <si>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</si>
  <si>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</si>
  <si>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</si>
  <si>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</si>
  <si>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</si>
  <si>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</si>
  <si>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</si>
  <si>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</si>
  <si>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</si>
  <si>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</si>
  <si>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</si>
  <si>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</si>
  <si>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</si>
  <si>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</si>
  <si>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</si>
  <si>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</si>
  <si>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</si>
  <si>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</si>
  <si>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</si>
  <si>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</si>
  <si>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</si>
  <si>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</si>
  <si>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</si>
  <si>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</si>
  <si>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</si>
  <si>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</si>
  <si>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</si>
  <si>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</si>
  <si>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</si>
  <si>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</si>
  <si>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</si>
  <si>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</si>
  <si>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</si>
  <si>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</si>
  <si>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</si>
  <si>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</si>
  <si>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</si>
  <si>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</si>
  <si>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</si>
  <si>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</si>
  <si>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</si>
  <si>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</si>
  <si>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</si>
  <si>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</si>
  <si>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</si>
  <si>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</si>
  <si>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</si>
  <si>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</si>
  <si>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</si>
  <si>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</si>
  <si>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</si>
  <si>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</si>
  <si>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</si>
  <si>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</si>
  <si>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</si>
  <si>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</si>
  <si>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</si>
  <si>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</si>
  <si>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</si>
  <si>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</si>
  <si>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</si>
  <si>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</si>
  <si>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</si>
  <si>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</si>
  <si>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</si>
  <si>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</si>
  <si>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</si>
  <si>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</si>
  <si>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</si>
  <si>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</si>
  <si>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</si>
  <si>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</si>
  <si>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</si>
  <si>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</si>
  <si>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</si>
  <si>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</si>
  <si>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</si>
  <si>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</si>
  <si>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</si>
  <si>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</si>
  <si>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</si>
  <si>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</si>
  <si>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</si>
  <si>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</si>
  <si>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</si>
  <si>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</si>
  <si>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</si>
  <si>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</si>
  <si>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</si>
  <si>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</si>
  <si>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</si>
  <si>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</si>
  <si>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</si>
  <si>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</si>
  <si>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</si>
  <si>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</si>
  <si>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</si>
  <si>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</si>
  <si>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</si>
  <si>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</si>
  <si>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</si>
  <si>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</si>
  <si>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</si>
  <si>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</si>
  <si>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</si>
  <si>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</si>
  <si>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</si>
  <si>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</si>
  <si>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</si>
  <si>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</si>
  <si>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</si>
  <si>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</si>
  <si>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</si>
  <si>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</si>
  <si>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</si>
  <si>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</si>
  <si>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</si>
  <si>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</si>
  <si>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</si>
  <si>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</si>
  <si>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</si>
  <si>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</si>
  <si>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</si>
  <si>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</si>
  <si>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</si>
  <si>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</si>
  <si>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</si>
  <si>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</si>
  <si>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</si>
  <si>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</si>
  <si>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</si>
  <si>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</si>
  <si>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</si>
  <si>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</si>
  <si>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</si>
  <si>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</si>
  <si>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</si>
  <si>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</si>
  <si>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</si>
  <si>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</si>
  <si>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</si>
  <si>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</si>
  <si>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</si>
  <si>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</si>
  <si>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</si>
  <si>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</si>
  <si>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</si>
  <si>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</si>
  <si>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</si>
  <si>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</si>
  <si>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</si>
  <si>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</si>
  <si>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</si>
  <si>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</si>
  <si>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</si>
  <si>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</si>
  <si>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</si>
  <si>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</si>
  <si>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</si>
  <si>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</si>
  <si>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</si>
  <si>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</si>
  <si>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</si>
  <si>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</si>
  <si>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</si>
  <si>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</si>
  <si>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</si>
  <si>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</si>
  <si>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</si>
  <si>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</si>
  <si>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</si>
  <si>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</si>
  <si>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</si>
  <si>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</si>
  <si>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</si>
  <si>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</si>
  <si>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</si>
  <si>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</si>
  <si>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</si>
  <si>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</si>
  <si>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</si>
  <si>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</si>
  <si>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</si>
  <si>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</si>
  <si>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</si>
  <si>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</si>
  <si>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</si>
  <si>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</si>
  <si>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</si>
  <si>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</si>
  <si>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</si>
  <si>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</si>
  <si>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</si>
  <si>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</si>
  <si>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</si>
  <si>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</si>
  <si>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</si>
  <si>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</si>
  <si>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</si>
  <si>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</si>
  <si>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</si>
  <si>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</si>
  <si>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</si>
  <si>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</si>
  <si>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</si>
  <si>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</si>
  <si>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</si>
  <si>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</si>
  <si>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</si>
  <si>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</si>
  <si>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</si>
  <si>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</si>
  <si>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</si>
  <si>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</si>
  <si>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</si>
  <si>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</si>
  <si>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</si>
  <si>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</si>
  <si>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</si>
  <si>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</si>
  <si>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</si>
  <si>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</si>
  <si>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</si>
  <si>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</si>
  <si>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</si>
  <si>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</si>
  <si>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</si>
  <si>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</si>
  <si>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</si>
  <si>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</si>
  <si>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</si>
  <si>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</si>
  <si>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</si>
  <si>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</si>
  <si>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</si>
  <si>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</si>
  <si>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</si>
  <si>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</si>
  <si>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</si>
  <si>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</si>
  <si>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</si>
  <si>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</si>
  <si>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</si>
  <si>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</si>
  <si>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</si>
  <si>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</si>
  <si>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</si>
  <si>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</si>
  <si>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</si>
  <si>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</si>
  <si>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</si>
  <si>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</si>
  <si>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</si>
  <si>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</si>
  <si>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</si>
  <si>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</si>
  <si>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</si>
  <si>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</si>
  <si>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</si>
  <si>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</si>
  <si>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</si>
  <si>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</si>
  <si>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</si>
  <si>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</si>
  <si>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</si>
  <si>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</si>
  <si>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</si>
  <si>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</si>
  <si>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</si>
  <si>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</si>
  <si>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</si>
  <si>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</si>
  <si>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</si>
  <si>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</si>
  <si>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</si>
  <si>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</si>
  <si>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</si>
  <si>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</si>
  <si>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</si>
  <si>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</si>
  <si>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</si>
  <si>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</si>
  <si>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</si>
  <si>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</si>
  <si>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</si>
  <si>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</si>
  <si>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</si>
  <si>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</si>
  <si>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</si>
  <si>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</si>
  <si>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</si>
  <si>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</si>
  <si>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</si>
  <si>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</si>
  <si>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</si>
  <si>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</si>
  <si>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</si>
  <si>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</si>
  <si>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</si>
  <si>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</si>
  <si>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</si>
  <si>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</si>
  <si>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</si>
  <si>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</si>
  <si>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</si>
  <si>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</si>
  <si>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</si>
  <si>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</si>
  <si>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</si>
  <si>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</si>
  <si>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</si>
  <si>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</si>
  <si>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</si>
  <si>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</si>
  <si>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</si>
  <si>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</si>
  <si>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</si>
  <si>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</si>
  <si>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</si>
  <si>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</si>
  <si>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</si>
  <si>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</si>
  <si>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</si>
  <si>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</si>
  <si>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</si>
  <si>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</si>
  <si>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</si>
  <si>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</si>
  <si>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</si>
  <si>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</si>
  <si>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</si>
  <si>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</si>
  <si>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</si>
  <si>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</si>
  <si>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</si>
  <si>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</si>
  <si>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</si>
  <si>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</si>
  <si>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</si>
  <si>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</si>
  <si>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</si>
  <si>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</si>
  <si>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</si>
  <si>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</si>
  <si>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</si>
  <si>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</si>
  <si>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</si>
  <si>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</si>
  <si>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</si>
  <si>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</si>
  <si>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</si>
  <si>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</si>
  <si>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</si>
  <si>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</si>
  <si>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</si>
  <si>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</si>
  <si>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</si>
  <si>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</si>
  <si>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</si>
  <si>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</si>
  <si>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</si>
  <si>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</si>
  <si>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</si>
  <si>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</si>
  <si>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</si>
  <si>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</si>
  <si>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</si>
  <si>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</si>
  <si>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</si>
  <si>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</si>
  <si>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</si>
  <si>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</si>
  <si>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</si>
  <si>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</si>
  <si>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</si>
  <si>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</si>
  <si>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</si>
  <si>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</si>
  <si>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</si>
  <si>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</si>
  <si>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</si>
  <si>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</si>
  <si>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</si>
  <si>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</si>
  <si>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</si>
  <si>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</si>
  <si>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</si>
  <si>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</si>
  <si>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</si>
  <si>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</si>
  <si>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</si>
  <si>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</si>
  <si>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</si>
  <si>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</si>
  <si>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</si>
  <si>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</si>
  <si>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</si>
  <si>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</si>
  <si>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</si>
  <si>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</si>
  <si>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</si>
  <si>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</si>
  <si>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</si>
  <si>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</si>
  <si>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</si>
  <si>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</si>
  <si>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</si>
  <si>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</si>
  <si>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</si>
  <si>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</si>
  <si>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</si>
  <si>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</si>
  <si>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</si>
  <si>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</si>
  <si>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</si>
  <si>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</si>
  <si>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</si>
  <si>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</si>
  <si>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</si>
  <si>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</si>
  <si>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</si>
  <si>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</si>
  <si>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</si>
  <si>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</si>
  <si>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</si>
  <si>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</si>
  <si>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</si>
  <si>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</si>
  <si>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</si>
  <si>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</si>
  <si>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</si>
  <si>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</si>
  <si>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</si>
  <si>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</si>
  <si>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</si>
  <si>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</si>
  <si>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</si>
  <si>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</si>
  <si>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</si>
  <si>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</si>
  <si>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</si>
  <si>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</si>
  <si>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</si>
  <si>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</si>
  <si>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</si>
  <si>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</si>
  <si>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</si>
  <si>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</si>
  <si>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</si>
  <si>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</si>
  <si>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</si>
  <si>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</si>
  <si>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</si>
  <si>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</si>
  <si>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</si>
  <si>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</si>
  <si>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</si>
  <si>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</si>
  <si>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</si>
  <si>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</si>
  <si>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</si>
  <si>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</si>
  <si>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</si>
  <si>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</si>
  <si>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</si>
  <si>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</si>
  <si>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</si>
  <si>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</si>
  <si>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</si>
  <si>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</si>
  <si>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</si>
  <si>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</si>
  <si>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</si>
  <si>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</si>
  <si>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</si>
  <si>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</si>
  <si>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</si>
  <si>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</si>
  <si>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</si>
  <si>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</si>
  <si>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</si>
  <si>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</si>
  <si>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</si>
  <si>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</si>
  <si>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</si>
  <si>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</si>
  <si>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</si>
  <si>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</si>
  <si>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</si>
  <si>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</si>
  <si>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</si>
  <si>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</si>
  <si>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</si>
  <si>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</si>
  <si>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</si>
  <si>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</si>
  <si>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</si>
  <si>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</si>
  <si>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</si>
  <si>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</si>
  <si>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</si>
  <si>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</si>
  <si>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</si>
  <si>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</si>
  <si>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</si>
  <si>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</si>
  <si>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</si>
  <si>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</si>
  <si>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</si>
  <si>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</si>
  <si>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</si>
  <si>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</si>
  <si>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</si>
  <si>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</si>
  <si>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</si>
  <si>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</si>
  <si>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</si>
  <si>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</si>
  <si>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</si>
  <si>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</si>
  <si>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</si>
  <si>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</si>
  <si>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</si>
  <si>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</si>
  <si>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</si>
  <si>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</si>
  <si>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</si>
  <si>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</si>
  <si>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</si>
  <si>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</si>
  <si>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</si>
  <si>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</si>
  <si>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</si>
  <si>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</si>
  <si>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</si>
  <si>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</si>
  <si>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</si>
  <si>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</si>
  <si>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</si>
  <si>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</si>
  <si>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</si>
  <si>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</si>
  <si>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</si>
  <si>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</si>
  <si>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</si>
  <si>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</si>
  <si>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</si>
  <si>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</si>
  <si>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</si>
  <si>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</si>
  <si>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</si>
  <si>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</si>
  <si>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</si>
  <si>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</si>
  <si>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</si>
  <si>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</si>
  <si>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</si>
  <si>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</si>
  <si>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</si>
  <si>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</si>
  <si>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</si>
  <si>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</si>
  <si>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</si>
  <si>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</si>
  <si>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</si>
  <si>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</si>
  <si>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</si>
  <si>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</si>
  <si>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</si>
  <si>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</si>
  <si>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</si>
  <si>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</si>
  <si>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</si>
  <si>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</si>
  <si>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</si>
  <si>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</si>
  <si>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</si>
  <si>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</si>
  <si>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</si>
  <si>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</si>
  <si>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</si>
  <si>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</si>
  <si>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</si>
  <si>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</si>
  <si>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</si>
  <si>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</si>
  <si>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</si>
  <si>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</si>
  <si>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</si>
  <si>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</si>
  <si>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</si>
  <si>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</si>
  <si>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</si>
  <si>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</si>
  <si>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</si>
  <si>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</si>
  <si>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</si>
  <si>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</si>
  <si>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</si>
  <si>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</si>
  <si>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FUENGIROLA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</si>
</sst>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7p34mU59/BWDhwzu1PM+2EXYKX/J7VCzWHgv+ggj8r/CE0FoBkqPDaME0BbGSAhAWWW93fzMqnZrsUao0mujQ==" saltValue="F2rNbFdCFYCDe8m4wcBH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7.578649612593777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86</v>
      </c>
      <c r="D10" s="239">
        <f>IF(ISNUMBER(Datos!I10),Datos!I10," - ")</f>
        <v>100</v>
      </c>
      <c r="E10" s="240">
        <f>IF(ISNUMBER(Datos!J10),Datos!J10," - ")</f>
        <v>159</v>
      </c>
      <c r="F10" s="240">
        <f>IF(ISNUMBER(Datos!K10),Datos!K10," - ")</f>
        <v>128</v>
      </c>
      <c r="G10" s="1390" t="str">
        <f>IF(Datos!E10&lt;&gt;"",Datos!E10,Datos!D10)</f>
        <v>37</v>
      </c>
      <c r="H10" s="241">
        <f>IF(ISNUMBER(Datos!L10),Datos!L10," - ")</f>
        <v>117</v>
      </c>
      <c r="I10" s="1400" t="str">
        <f>IF(ISNUMBER(Datos!AS10/Datos!BM10),Datos!AS10/Datos!BM10," - ")</f>
        <v xml:space="preserve"> - </v>
      </c>
      <c r="J10" s="1401">
        <f>IF(ISNUMBER(Datos!BY10/Datos!CN10),Datos!BY10/Datos!CN10," - ")</f>
        <v>0</v>
      </c>
      <c r="K10" s="244">
        <f t="shared" ref="K10:K13" si="1">IF(ISNUMBER((E10-F10)/C10),(E10-F10)/C10," - ")</f>
        <v>0.36046511627906974</v>
      </c>
      <c r="L10" s="1402">
        <f>IF(ISNUMBER(NºAsuntos!I10/NºAsuntos!G10),(NºAsuntos!I10/NºAsuntos!G10)*11," - ")</f>
        <v>10.0546875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86</v>
      </c>
      <c r="D14" s="1407">
        <f>SUBTOTAL(9,D9:D13)</f>
        <v>100</v>
      </c>
      <c r="E14" s="1408">
        <f>SUBTOTAL(9,E9:E13)</f>
        <v>159</v>
      </c>
      <c r="F14" s="1409">
        <f>SUBTOTAL(9,F9:F13)</f>
        <v>128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1401</v>
      </c>
      <c r="D16" s="239">
        <f>IF(ISNUMBER(IF(D_I="SI",Datos!I16,Datos!I16+Datos!AC16)),IF(D_I="SI",Datos!I16,Datos!I16+Datos!AC16)," - ")</f>
        <v>1180</v>
      </c>
      <c r="E16" s="240">
        <f>IF(ISNUMBER(IF(D_I="SI",Datos!J16,Datos!J16+Datos!AD16)),IF(D_I="SI",Datos!J16,Datos!J16+Datos!AD16)," - ")</f>
        <v>12010</v>
      </c>
      <c r="F16" s="240">
        <f>IF(ISNUMBER(IF(D_I="SI",Datos!K16,Datos!K16+Datos!AE16)),IF(D_I="SI",Datos!K16,Datos!K16+Datos!AE16)," - ")</f>
        <v>11912</v>
      </c>
      <c r="G16" s="1390" t="str">
        <f>IF(Datos!E16&lt;&gt;"",Datos!E16,Datos!D16)</f>
        <v>03</v>
      </c>
      <c r="H16" s="241">
        <f>IF(ISNUMBER(IF(D_I="SI",Datos!L16,Datos!L16+Datos!AF16)),IF(D_I="SI",Datos!L16,Datos!L16+Datos!AF16)," - ")</f>
        <v>1499</v>
      </c>
      <c r="I16" s="1400" t="str">
        <f>IF(ISNUMBER(Datos!AS16/Datos!BM16),Datos!AS16/Datos!BM16," - ")</f>
        <v xml:space="preserve"> - </v>
      </c>
      <c r="J16" s="1401">
        <f>IF(ISNUMBER(Datos!BY16/Datos!CN16),Datos!BY16/Datos!CN16," - ")</f>
        <v>0</v>
      </c>
      <c r="K16" s="244">
        <f t="shared" ref="K16:K22" si="3">IF(ISNUMBER((E16-F16)/C16),(E16-F16)/C16," - ")</f>
        <v>6.9950035688793724E-2</v>
      </c>
      <c r="L16" s="1402">
        <f>IF(ISNUMBER(NºAsuntos!I16/NºAsuntos!G16),(NºAsuntos!I16/NºAsuntos!G16)*11," - ")</f>
        <v>1.3842343854936199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253</v>
      </c>
      <c r="D18" s="239">
        <f>IF(ISNUMBER(IF(D_I="SI",Datos!I18,Datos!I18+Datos!AC18)),IF(D_I="SI",Datos!I18,Datos!I18+Datos!AC18)," - ")</f>
        <v>245</v>
      </c>
      <c r="E18" s="240">
        <f>IF(ISNUMBER(IF(D_I="SI",Datos!J18,Datos!J18+Datos!AD18)),IF(D_I="SI",Datos!J18,Datos!J18+Datos!AD18)," - ")</f>
        <v>1060</v>
      </c>
      <c r="F18" s="240">
        <f>IF(ISNUMBER(IF(D_I="SI",Datos!K18,Datos!K18+Datos!AE18)),IF(D_I="SI",Datos!K18,Datos!K18+Datos!AE18)," - ")</f>
        <v>1012</v>
      </c>
      <c r="G18" s="1390" t="str">
        <f>IF(Datos!E18&lt;&gt;"",Datos!E18,Datos!D18)</f>
        <v>37</v>
      </c>
      <c r="H18" s="241">
        <f>IF(ISNUMBER(IF(D_I="SI",Datos!L18,Datos!L18+Datos!AF18)),IF(D_I="SI",Datos!L18,Datos!L18+Datos!AF18)," - ")</f>
        <v>301</v>
      </c>
      <c r="I18" s="1400" t="str">
        <f>IF(ISNUMBER(Datos!AS18/Datos!BM18),Datos!AS18/Datos!BM18," - ")</f>
        <v xml:space="preserve"> - </v>
      </c>
      <c r="J18" s="1401" t="str">
        <f>IF(ISNUMBER((Datos!BY18+Datos!BZ18)/Datos!CN18),(Datos!BY18+Datos!BZ18)/Datos!CN18," - ")</f>
        <v xml:space="preserve"> - </v>
      </c>
      <c r="K18" s="244">
        <f t="shared" si="3"/>
        <v>0.18972332015810275</v>
      </c>
      <c r="L18" s="1402">
        <f>IF(ISNUMBER(NºAsuntos!I18/NºAsuntos!G18),(NºAsuntos!I18/NºAsuntos!G18)*11," - ")</f>
        <v>3.2717391304347827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1654</v>
      </c>
      <c r="D23" s="1407">
        <f>SUBTOTAL(9,D16:D22)</f>
        <v>1425</v>
      </c>
      <c r="E23" s="1408">
        <f>SUBTOTAL(9,E16:E22)</f>
        <v>13070</v>
      </c>
      <c r="F23" s="1408">
        <f>SUBTOTAL(9,F16:F22)</f>
        <v>12924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1740</v>
      </c>
      <c r="D31" s="1435">
        <f>SUBTOTAL(9,D9:D30)</f>
        <v>1525</v>
      </c>
      <c r="E31" s="1436">
        <f>SUBTOTAL(9,E9:E30)</f>
        <v>13229</v>
      </c>
      <c r="F31" s="1436">
        <f>SUBTOTAL(9,F9:F30)</f>
        <v>13052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wVBg3ZLVOq9/fQPPJaooix+c/taChyACUnvCNwQKjLUYJsbC+USwJ4t9PVBdK2PnOJ7D0m8pd7nn569UD+89A==" saltValue="TH2RWiXiEedMg7MggTabv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c8w1zLARny41ffxLGsf8NvZ83UqPWEJlOeXwbmCdNjcbnti5WabDi/Mj+WufvvYxro2KBAnO8wt1pcsR6Xmzw==" saltValue="GJ0Ry9B4UFgBr7yW42a5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4758</v>
      </c>
      <c r="J9" s="194">
        <v>8043</v>
      </c>
      <c r="K9" s="194">
        <v>7601</v>
      </c>
      <c r="L9" s="194">
        <v>5521</v>
      </c>
      <c r="M9" s="194">
        <v>1776</v>
      </c>
      <c r="N9" s="194">
        <v>3331</v>
      </c>
      <c r="O9" s="194">
        <v>4148</v>
      </c>
      <c r="P9" s="194">
        <v>2118</v>
      </c>
      <c r="Q9" s="194">
        <v>2784</v>
      </c>
      <c r="R9" s="194">
        <v>7181</v>
      </c>
      <c r="S9" s="194">
        <v>5381</v>
      </c>
      <c r="T9" s="194">
        <v>7765</v>
      </c>
      <c r="U9" s="194">
        <v>8547</v>
      </c>
      <c r="V9" s="194">
        <v>4758</v>
      </c>
      <c r="W9" s="194">
        <v>1981</v>
      </c>
      <c r="X9" s="201">
        <v>3728</v>
      </c>
      <c r="Y9" s="204">
        <v>89</v>
      </c>
      <c r="Z9" s="194">
        <v>540</v>
      </c>
      <c r="AA9" s="194">
        <v>530</v>
      </c>
      <c r="AB9" s="194">
        <v>81</v>
      </c>
      <c r="AC9" s="194">
        <v>0</v>
      </c>
      <c r="AD9" s="194">
        <v>0</v>
      </c>
      <c r="AE9" s="194">
        <v>0</v>
      </c>
      <c r="AF9" s="201">
        <v>0</v>
      </c>
      <c r="AG9" s="204">
        <v>138</v>
      </c>
      <c r="AH9" s="194">
        <v>573</v>
      </c>
      <c r="AI9" s="194">
        <v>610</v>
      </c>
      <c r="AJ9" s="205">
        <v>89</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5519</v>
      </c>
      <c r="AZ9" s="133">
        <f>IF(ISNUMBER(IF(J_V="SI",T9,T9+AH9)),IF(J_V="SI",T9,T9+AH9)," - ")</f>
        <v>8338</v>
      </c>
      <c r="BA9" s="134">
        <f>IF(ISNUMBER(IF(J_V="SI",U9,U9+AI9)),IF(J_V="SI",U9,U9+AI9)," - ")</f>
        <v>9157</v>
      </c>
      <c r="BB9" s="134">
        <f>IF(ISNUMBER(IF(J_V="SI",V9,V9+AJ9)),IF(J_V="SI",V9,V9+AJ9)," - ")</f>
        <v>4847</v>
      </c>
      <c r="BC9" s="135">
        <f>IF(ISNUMBER(X9),X9," - ")</f>
        <v>3728</v>
      </c>
      <c r="BD9" s="136">
        <f>IF(ISNUMBER(BA9/AZ9),BA9/AZ9," - ")</f>
        <v>1.0982249940033582</v>
      </c>
      <c r="BE9" s="137">
        <f>IF(ISNUMBER(BB9/BA9),BB9/BA9, " - ")</f>
        <v>0.52932183029376434</v>
      </c>
      <c r="BF9" s="137">
        <f>IF(ISNUMBER(BC9/BA9),BC9/BA9, " - ")</f>
        <v>0.4071202358851152</v>
      </c>
      <c r="BG9" s="209">
        <f>IF(ISNUMBER((AY9+AZ9)/BA9),(AY9+AZ9)/BA9," - ")</f>
        <v>1.5132685377306978</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100</v>
      </c>
      <c r="J10" s="194">
        <v>159</v>
      </c>
      <c r="K10" s="194">
        <v>128</v>
      </c>
      <c r="L10" s="194">
        <v>117</v>
      </c>
      <c r="M10" s="194">
        <v>44</v>
      </c>
      <c r="N10" s="194">
        <v>60</v>
      </c>
      <c r="O10" s="194">
        <v>41</v>
      </c>
      <c r="P10" s="194">
        <v>31</v>
      </c>
      <c r="Q10" s="194">
        <v>20</v>
      </c>
      <c r="R10" s="194">
        <v>77</v>
      </c>
      <c r="S10" s="194">
        <v>70</v>
      </c>
      <c r="T10" s="194">
        <v>150</v>
      </c>
      <c r="U10" s="194">
        <v>120</v>
      </c>
      <c r="V10" s="194">
        <v>100</v>
      </c>
      <c r="W10" s="194">
        <v>41</v>
      </c>
      <c r="X10" s="201">
        <v>46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70</v>
      </c>
      <c r="AZ10" s="139">
        <f t="shared" si="0"/>
        <v>150</v>
      </c>
      <c r="BA10" s="139">
        <f t="shared" si="0"/>
        <v>120</v>
      </c>
      <c r="BB10" s="139">
        <f t="shared" si="0"/>
        <v>100</v>
      </c>
      <c r="BC10" s="135">
        <f t="shared" si="0"/>
        <v>41</v>
      </c>
      <c r="BD10" s="136">
        <f>IF(ISNUMBER(BA10/AZ10),BA10/AZ10," - ")</f>
        <v>0.8</v>
      </c>
      <c r="BE10" s="137">
        <f>IF(ISNUMBER(BB10/BA10),BB10/BA10, " - ")</f>
        <v>0.83333333333333337</v>
      </c>
      <c r="BF10" s="137">
        <f>IF(ISNUMBER(BC10/BA10),BC10/BA10, " - ")</f>
        <v>0.34166666666666667</v>
      </c>
      <c r="BG10" s="209">
        <f>IF(ISNUMBER((AY10+AZ10)/BA10),(AY10+AZ10)/BA10," - ")</f>
        <v>1.8333333333333333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4858</v>
      </c>
      <c r="J14" s="197">
        <f t="shared" si="7"/>
        <v>8202</v>
      </c>
      <c r="K14" s="197">
        <f t="shared" si="7"/>
        <v>7729</v>
      </c>
      <c r="L14" s="197">
        <f t="shared" si="7"/>
        <v>5638</v>
      </c>
      <c r="M14" s="197">
        <f t="shared" si="7"/>
        <v>1820</v>
      </c>
      <c r="N14" s="197">
        <f t="shared" si="7"/>
        <v>3391</v>
      </c>
      <c r="O14" s="197">
        <f t="shared" si="7"/>
        <v>4189</v>
      </c>
      <c r="P14" s="197">
        <f t="shared" si="7"/>
        <v>2149</v>
      </c>
      <c r="Q14" s="197">
        <f t="shared" si="7"/>
        <v>2804</v>
      </c>
      <c r="R14" s="197">
        <f t="shared" si="7"/>
        <v>7258</v>
      </c>
      <c r="S14" s="197">
        <f t="shared" si="7"/>
        <v>5451</v>
      </c>
      <c r="T14" s="197">
        <f t="shared" si="7"/>
        <v>7915</v>
      </c>
      <c r="U14" s="197">
        <f t="shared" si="7"/>
        <v>8667</v>
      </c>
      <c r="V14" s="197">
        <f t="shared" si="7"/>
        <v>4858</v>
      </c>
      <c r="W14" s="197">
        <f t="shared" si="7"/>
        <v>2022</v>
      </c>
      <c r="X14" s="197">
        <f t="shared" si="7"/>
        <v>3774</v>
      </c>
      <c r="Y14" s="197">
        <f t="shared" si="7"/>
        <v>89</v>
      </c>
      <c r="Z14" s="197">
        <f t="shared" si="7"/>
        <v>540</v>
      </c>
      <c r="AA14" s="197">
        <f t="shared" si="7"/>
        <v>530</v>
      </c>
      <c r="AB14" s="197">
        <f t="shared" si="7"/>
        <v>81</v>
      </c>
      <c r="AC14" s="197">
        <f t="shared" si="7"/>
        <v>0</v>
      </c>
      <c r="AD14" s="197">
        <f t="shared" si="7"/>
        <v>0</v>
      </c>
      <c r="AE14" s="197">
        <f t="shared" si="7"/>
        <v>0</v>
      </c>
      <c r="AF14" s="197">
        <f>SUBTOTAL(9,AF9:AF13)</f>
        <v>0</v>
      </c>
      <c r="AG14" s="197">
        <f t="shared" ref="AG14:AT14" si="8">SUBTOTAL(9,AG8:AG13)</f>
        <v>138</v>
      </c>
      <c r="AH14" s="197">
        <f t="shared" si="8"/>
        <v>573</v>
      </c>
      <c r="AI14" s="197">
        <f t="shared" si="8"/>
        <v>610</v>
      </c>
      <c r="AJ14" s="197">
        <f t="shared" si="8"/>
        <v>89</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5589</v>
      </c>
      <c r="AZ14" s="197">
        <f>SUBTOTAL(9,AZ8:AZ13)</f>
        <v>8488</v>
      </c>
      <c r="BA14" s="197">
        <f>SUBTOTAL(9,BA8:BA13)</f>
        <v>9277</v>
      </c>
      <c r="BB14" s="197">
        <f>SUBTOTAL(9,BB8:BB13)</f>
        <v>4947</v>
      </c>
      <c r="BC14" s="197">
        <f>SUBTOTAL(9,BC8:BC13)</f>
        <v>3769</v>
      </c>
      <c r="BD14" s="219">
        <f>IF(ISNUMBER(BA14/AZ14),BA14/AZ14," - ")</f>
        <v>1.0929547596606974</v>
      </c>
      <c r="BE14" s="220">
        <f>IF(ISNUMBER(BB14/BA14),BB14/BA14, " - ")</f>
        <v>0.53325428479034176</v>
      </c>
      <c r="BF14" s="220">
        <f>IF(ISNUMBER(BC14/BA14),BC14/BA14, " - ")</f>
        <v>0.40627357982106282</v>
      </c>
      <c r="BG14" s="221">
        <f>IF(ISNUMBER((AY14+AZ14)/BA14),(AY14+AZ14)/BA14," - ")</f>
        <v>1.5174086450361108</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1180</v>
      </c>
      <c r="J16" s="196">
        <v>12010</v>
      </c>
      <c r="K16" s="196">
        <v>11912</v>
      </c>
      <c r="L16" s="196">
        <v>1499</v>
      </c>
      <c r="M16" s="196">
        <v>1263</v>
      </c>
      <c r="N16" s="196">
        <v>7589</v>
      </c>
      <c r="O16" s="194">
        <v>491</v>
      </c>
      <c r="P16" s="196">
        <v>468</v>
      </c>
      <c r="Q16" s="196">
        <v>508</v>
      </c>
      <c r="R16" s="196">
        <v>278</v>
      </c>
      <c r="S16" s="196">
        <v>1257</v>
      </c>
      <c r="T16" s="196">
        <v>10913</v>
      </c>
      <c r="U16" s="196">
        <v>11196</v>
      </c>
      <c r="V16" s="196">
        <v>1180</v>
      </c>
      <c r="W16" s="196">
        <v>1282</v>
      </c>
      <c r="X16" s="202">
        <v>6880</v>
      </c>
      <c r="Y16" s="215">
        <v>0</v>
      </c>
      <c r="Z16" s="196">
        <v>0</v>
      </c>
      <c r="AA16" s="196">
        <v>0</v>
      </c>
      <c r="AB16" s="196">
        <v>0</v>
      </c>
      <c r="AC16" s="196">
        <v>0</v>
      </c>
      <c r="AD16" s="196">
        <v>51</v>
      </c>
      <c r="AE16" s="196">
        <v>51</v>
      </c>
      <c r="AF16" s="202">
        <v>0</v>
      </c>
      <c r="AG16" s="215">
        <v>0</v>
      </c>
      <c r="AH16" s="196">
        <v>0</v>
      </c>
      <c r="AI16" s="196">
        <v>0</v>
      </c>
      <c r="AJ16" s="216">
        <v>0</v>
      </c>
      <c r="AK16" s="195">
        <v>0</v>
      </c>
      <c r="AL16" s="196">
        <v>33</v>
      </c>
      <c r="AM16" s="196">
        <v>33</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1257</v>
      </c>
      <c r="AZ16" s="139">
        <f t="shared" si="10"/>
        <v>10913</v>
      </c>
      <c r="BA16" s="139">
        <f t="shared" si="10"/>
        <v>11196</v>
      </c>
      <c r="BB16" s="139">
        <f t="shared" si="10"/>
        <v>1180</v>
      </c>
      <c r="BC16" s="135">
        <f>IF(ISNUMBER(W16),W16," - ")</f>
        <v>1282</v>
      </c>
      <c r="BD16" s="136">
        <f>IF(ISNUMBER(BA16/AZ16),BA16/AZ16," - ")</f>
        <v>1.0259323742325666</v>
      </c>
      <c r="BE16" s="137">
        <f>IF(ISNUMBER(BB16/BA16),BB16/BA16, " - ")</f>
        <v>0.10539478385137549</v>
      </c>
      <c r="BF16" s="137">
        <f>IF(ISNUMBER(BC16/BA16),BC16/BA16, " - ")</f>
        <v>0.11450518042157913</v>
      </c>
      <c r="BG16" s="209">
        <f t="shared" ref="BG16:BG22" si="11">IF(ISNUMBER((AY16+AZ16)/BA16),(AY16+AZ16)/BA16," - ")</f>
        <v>1.0869953554841014</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245</v>
      </c>
      <c r="J18" s="196">
        <v>1060</v>
      </c>
      <c r="K18" s="196">
        <v>1012</v>
      </c>
      <c r="L18" s="196">
        <v>301</v>
      </c>
      <c r="M18" s="196">
        <v>91</v>
      </c>
      <c r="N18" s="196">
        <v>572</v>
      </c>
      <c r="O18" s="196">
        <v>5</v>
      </c>
      <c r="P18" s="196">
        <v>11</v>
      </c>
      <c r="Q18" s="196">
        <v>17</v>
      </c>
      <c r="R18" s="196">
        <v>2</v>
      </c>
      <c r="S18" s="196">
        <v>263</v>
      </c>
      <c r="T18" s="196">
        <v>984</v>
      </c>
      <c r="U18" s="196">
        <v>1011</v>
      </c>
      <c r="V18" s="196">
        <v>245</v>
      </c>
      <c r="W18" s="196">
        <v>114</v>
      </c>
      <c r="X18" s="202">
        <v>501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263</v>
      </c>
      <c r="AZ18" s="139">
        <f t="shared" si="15"/>
        <v>984</v>
      </c>
      <c r="BA18" s="139">
        <f t="shared" si="15"/>
        <v>1011</v>
      </c>
      <c r="BB18" s="139">
        <f t="shared" si="15"/>
        <v>245</v>
      </c>
      <c r="BC18" s="135">
        <f>IF(ISNUMBER(W18),W18," - ")</f>
        <v>114</v>
      </c>
      <c r="BD18" s="136">
        <f>IF(ISNUMBER(BA18/AZ18),BA18/AZ18," - ")</f>
        <v>1.0274390243902438</v>
      </c>
      <c r="BE18" s="137">
        <f>IF(ISNUMBER(BB18/BA18),BB18/BA18, " - ")</f>
        <v>0.24233432245301681</v>
      </c>
      <c r="BF18" s="137">
        <f>IF(ISNUMBER(BC18/BA18),BC18/BA18, " - ")</f>
        <v>0.11275964391691394</v>
      </c>
      <c r="BG18" s="209">
        <f>IF(ISNUMBER((AY18+AZ18)/BA18),(AY18+AZ18)/BA18," - ")</f>
        <v>1.2334322453016815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1425</v>
      </c>
      <c r="J23" s="197">
        <f t="shared" si="21"/>
        <v>13070</v>
      </c>
      <c r="K23" s="197">
        <f t="shared" si="21"/>
        <v>12924</v>
      </c>
      <c r="L23" s="197">
        <f t="shared" si="21"/>
        <v>1800</v>
      </c>
      <c r="M23" s="197">
        <f t="shared" si="21"/>
        <v>1354</v>
      </c>
      <c r="N23" s="197">
        <f t="shared" si="21"/>
        <v>8161</v>
      </c>
      <c r="O23" s="197">
        <f t="shared" si="21"/>
        <v>496</v>
      </c>
      <c r="P23" s="197">
        <f t="shared" si="21"/>
        <v>479</v>
      </c>
      <c r="Q23" s="197">
        <f t="shared" si="21"/>
        <v>525</v>
      </c>
      <c r="R23" s="197">
        <f t="shared" si="21"/>
        <v>280</v>
      </c>
      <c r="S23" s="197">
        <f t="shared" si="21"/>
        <v>1520</v>
      </c>
      <c r="T23" s="197">
        <f t="shared" si="21"/>
        <v>11897</v>
      </c>
      <c r="U23" s="197">
        <f t="shared" si="21"/>
        <v>12207</v>
      </c>
      <c r="V23" s="197">
        <f t="shared" si="21"/>
        <v>1425</v>
      </c>
      <c r="W23" s="197">
        <f t="shared" si="21"/>
        <v>1396</v>
      </c>
      <c r="X23" s="197">
        <f t="shared" si="21"/>
        <v>7381</v>
      </c>
      <c r="Y23" s="197">
        <f t="shared" si="21"/>
        <v>0</v>
      </c>
      <c r="Z23" s="197">
        <f t="shared" si="21"/>
        <v>0</v>
      </c>
      <c r="AA23" s="197">
        <f t="shared" si="21"/>
        <v>0</v>
      </c>
      <c r="AB23" s="197">
        <f t="shared" si="21"/>
        <v>0</v>
      </c>
      <c r="AC23" s="197">
        <f t="shared" si="21"/>
        <v>0</v>
      </c>
      <c r="AD23" s="197">
        <f t="shared" si="21"/>
        <v>51</v>
      </c>
      <c r="AE23" s="197">
        <f t="shared" si="21"/>
        <v>51</v>
      </c>
      <c r="AF23" s="197">
        <f t="shared" si="21"/>
        <v>0</v>
      </c>
      <c r="AG23" s="197">
        <f t="shared" si="21"/>
        <v>0</v>
      </c>
      <c r="AH23" s="197">
        <f t="shared" si="21"/>
        <v>0</v>
      </c>
      <c r="AI23" s="197">
        <f t="shared" si="21"/>
        <v>0</v>
      </c>
      <c r="AJ23" s="197">
        <f t="shared" si="21"/>
        <v>0</v>
      </c>
      <c r="AK23" s="197">
        <f t="shared" si="21"/>
        <v>0</v>
      </c>
      <c r="AL23" s="197">
        <f t="shared" si="21"/>
        <v>33</v>
      </c>
      <c r="AM23" s="197">
        <f t="shared" si="21"/>
        <v>33</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1520</v>
      </c>
      <c r="AZ23" s="197">
        <f>SUBTOTAL(9,AZ15:AZ22)</f>
        <v>11897</v>
      </c>
      <c r="BA23" s="197">
        <f>SUBTOTAL(9,BA15:BA22)</f>
        <v>12207</v>
      </c>
      <c r="BB23" s="197">
        <f>SUBTOTAL(9,BB15:BB22)</f>
        <v>1425</v>
      </c>
      <c r="BC23" s="197">
        <f>SUBTOTAL(9,BC15:BC22)</f>
        <v>1396</v>
      </c>
      <c r="BD23" s="219">
        <f>IF(ISNUMBER(BA23/AZ23),BA23/AZ23," - ")</f>
        <v>1.0260569891569302</v>
      </c>
      <c r="BE23" s="220">
        <f>IF(ISNUMBER(BB23/BA23),BB23/BA23, " - ")</f>
        <v>0.11673629884492505</v>
      </c>
      <c r="BF23" s="220">
        <f>IF(ISNUMBER(BC23/BA23),BC23/BA23, " - ")</f>
        <v>0.11436061276316867</v>
      </c>
      <c r="BG23" s="221">
        <f>IF(ISNUMBER((AY23+AZ23)/BA23),(AY23+AZ23)/BA23," - ")</f>
        <v>1.0991234537560417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6283</v>
      </c>
      <c r="J31" s="144">
        <f t="shared" si="36"/>
        <v>21272</v>
      </c>
      <c r="K31" s="144">
        <f t="shared" si="36"/>
        <v>20653</v>
      </c>
      <c r="L31" s="144">
        <f t="shared" si="36"/>
        <v>7438</v>
      </c>
      <c r="M31" s="144">
        <f t="shared" si="36"/>
        <v>3174</v>
      </c>
      <c r="N31" s="144">
        <f t="shared" si="36"/>
        <v>11552</v>
      </c>
      <c r="O31" s="144">
        <f t="shared" si="36"/>
        <v>4685</v>
      </c>
      <c r="P31" s="144">
        <f t="shared" si="36"/>
        <v>2628</v>
      </c>
      <c r="Q31" s="144">
        <f t="shared" si="36"/>
        <v>3329</v>
      </c>
      <c r="R31" s="144">
        <f t="shared" si="36"/>
        <v>7538</v>
      </c>
      <c r="S31" s="144">
        <f t="shared" si="36"/>
        <v>6971</v>
      </c>
      <c r="T31" s="144">
        <f t="shared" si="36"/>
        <v>19812</v>
      </c>
      <c r="U31" s="144">
        <f t="shared" si="36"/>
        <v>20874</v>
      </c>
      <c r="V31" s="144">
        <f t="shared" si="36"/>
        <v>6283</v>
      </c>
      <c r="W31" s="144">
        <f t="shared" si="36"/>
        <v>3418</v>
      </c>
      <c r="X31" s="144">
        <f t="shared" si="36"/>
        <v>11155</v>
      </c>
      <c r="Y31" s="144">
        <f t="shared" si="36"/>
        <v>89</v>
      </c>
      <c r="Z31" s="144">
        <f t="shared" si="36"/>
        <v>540</v>
      </c>
      <c r="AA31" s="144">
        <f t="shared" si="36"/>
        <v>530</v>
      </c>
      <c r="AB31" s="144">
        <f t="shared" si="36"/>
        <v>81</v>
      </c>
      <c r="AC31" s="144">
        <f t="shared" si="36"/>
        <v>0</v>
      </c>
      <c r="AD31" s="144">
        <f t="shared" si="36"/>
        <v>51</v>
      </c>
      <c r="AE31" s="144">
        <f t="shared" si="36"/>
        <v>51</v>
      </c>
      <c r="AF31" s="144">
        <f t="shared" si="36"/>
        <v>0</v>
      </c>
      <c r="AG31" s="144">
        <f t="shared" si="36"/>
        <v>138</v>
      </c>
      <c r="AH31" s="144">
        <f t="shared" si="36"/>
        <v>573</v>
      </c>
      <c r="AI31" s="144">
        <f t="shared" si="36"/>
        <v>610</v>
      </c>
      <c r="AJ31" s="144">
        <f t="shared" si="36"/>
        <v>89</v>
      </c>
      <c r="AK31" s="144">
        <f t="shared" si="36"/>
        <v>0</v>
      </c>
      <c r="AL31" s="144">
        <f t="shared" si="36"/>
        <v>33</v>
      </c>
      <c r="AM31" s="144">
        <f t="shared" si="36"/>
        <v>33</v>
      </c>
      <c r="AN31" s="224">
        <f t="shared" si="36"/>
        <v>0</v>
      </c>
      <c r="AO31" s="225">
        <v>10</v>
      </c>
      <c r="AP31" s="225">
        <v>10</v>
      </c>
      <c r="AQ31" s="225">
        <v>10</v>
      </c>
      <c r="AR31" s="225">
        <v>10</v>
      </c>
      <c r="AS31" s="166">
        <f t="shared" si="36"/>
        <v>0</v>
      </c>
      <c r="AT31" s="166">
        <f t="shared" si="36"/>
        <v>0</v>
      </c>
      <c r="AU31" s="225"/>
      <c r="AV31" s="226"/>
      <c r="AW31" s="225"/>
      <c r="AX31" s="226"/>
      <c r="AY31" s="143">
        <f>SUBTOTAL(9,AY9:AY30)</f>
        <v>7109</v>
      </c>
      <c r="AZ31" s="144">
        <f>SUBTOTAL(9,AZ9:AZ30)</f>
        <v>20385</v>
      </c>
      <c r="BA31" s="144">
        <f>SUBTOTAL(9,BA9:BA30)</f>
        <v>21484</v>
      </c>
      <c r="BB31" s="144">
        <f>SUBTOTAL(9,BB9:BB30)</f>
        <v>6372</v>
      </c>
      <c r="BC31" s="145">
        <f>SUBTOTAL(9,BC9:BC30)</f>
        <v>5165</v>
      </c>
      <c r="BD31" s="227">
        <f>IF(ISNUMBER(BA31/AZ31),BA31/AZ31," - ")</f>
        <v>1.0539121903360313</v>
      </c>
      <c r="BE31" s="224">
        <f>IF(ISNUMBER(BB31/BA31),BB31/BA31, " - ")</f>
        <v>0.29659281325637682</v>
      </c>
      <c r="BF31" s="224">
        <f>IF(ISNUMBER(BC31/BA31),BC31/BA31, " - ")</f>
        <v>0.24041146900018617</v>
      </c>
      <c r="BG31" s="145">
        <f>IF(ISNUMBER((AY31+AZ31)/BA31),(AY31+AZ31)/BA31," - ")</f>
        <v>1.2797430646062187</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xlvouwhIrRCDmsVdJOOfFQSlS3Q6CPmJDXb4WLH7Ge1HJSa053xH1k43H00c9ci8MLRbcDBzgjt32b3XTMF5Q==" saltValue="9VpPLxndZ9aGyN+nohpDs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0B/VKE1X6z0AlwJai1Y+O+G2cYIIOFjoi54+WM3IzXlxVnRJ8OSIAsoKCafzkzlluUWDLBX0ZU046V9K9G9OA==" saltValue="xu0iqBzPK39Q9nFnTM3z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FUENGIROLA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540</v>
      </c>
      <c r="O9" s="549"/>
      <c r="P9" s="549"/>
      <c r="Q9" s="547">
        <f>IF(ISNUMBER(Datos!P9),Datos!P9,0)</f>
        <v>2118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2784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81</v>
      </c>
      <c r="AI9" s="549" t="str">
        <f>IF(ISNUMBER(Datos!CD9),Datos!CD9,"-")</f>
        <v>-</v>
      </c>
      <c r="AJ9" s="549" t="str">
        <f>IF(ISNUMBER(Datos!EN9),Datos!EN9," - ")</f>
        <v xml:space="preserve"> - </v>
      </c>
      <c r="AK9" s="549"/>
      <c r="AL9" s="550"/>
      <c r="AM9" s="766">
        <f>IF(ISNUMBER(Datos!R9),Datos!R9," - ")</f>
        <v>7181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1776</v>
      </c>
      <c r="BD9" s="693">
        <f>IF(ISNUMBER(Datos!N9),Datos!N9," - ")</f>
        <v>3331</v>
      </c>
      <c r="BE9" s="693" t="str">
        <f>IF(ISNUMBER(Datos!BW9),Datos!BW9," - ")</f>
        <v xml:space="preserve"> - </v>
      </c>
      <c r="BF9" s="762" t="str">
        <f>IF(ISNUMBER(Datos!BX9),Datos!BX9," - ")</f>
        <v xml:space="preserve"> - </v>
      </c>
      <c r="BG9" s="763">
        <f>IF(ISNUMBER(IF(J_V="SI",Datos!K9/Datos!J9,(Datos!K9+Datos!AA9)/(Datos!J9+Datos!Z9))),IF(J_V="SI",Datos!K9/Datos!J9,(Datos!K9+Datos!AA9)/(Datos!J9+Datos!Z9))," - ")</f>
        <v>0.94733776068973552</v>
      </c>
      <c r="BH9" s="764">
        <f>IF(ISNUMBER(((IF(J_V="SI",Datos!L9/Datos!K9,(Datos!L9+Datos!AB9)/(Datos!K9+Datos!AA9)))*11)/factor_trimestre),((IF(J_V="SI",Datos!L9/Datos!K9,(Datos!L9+Datos!AB9)/(Datos!K9+Datos!AA9)))*11)/factor_trimestre," - ")</f>
        <v>7.578649612593777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-8.4873199949025105E-2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86</v>
      </c>
      <c r="G10" s="543">
        <f>IF(ISNUMBER(Datos!I10),Datos!I10," - ")</f>
        <v>100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128</v>
      </c>
      <c r="AC10" s="547">
        <f>IF(ISNUMBER(Datos!Q10),Datos!Q10," - ")</f>
        <v>20</v>
      </c>
      <c r="AD10" s="549"/>
      <c r="AE10" s="563"/>
      <c r="AF10" s="551">
        <f>IF(ISNUMBER(Datos!L10),Datos!L10,"-")</f>
        <v>117</v>
      </c>
      <c r="AG10" s="549"/>
      <c r="AH10" s="549"/>
      <c r="AI10" s="549"/>
      <c r="AJ10" s="549"/>
      <c r="AK10" s="549"/>
      <c r="AL10" s="550"/>
      <c r="AM10" s="766">
        <f>IF(ISNUMBER(Datos!R10),Datos!R10," - ")</f>
        <v>77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44</v>
      </c>
      <c r="BD10" s="693">
        <f>IF(ISNUMBER(Datos!N10),Datos!N10," - ")</f>
        <v>60</v>
      </c>
      <c r="BE10" s="693" t="str">
        <f>IF(ISNUMBER(Datos!BW10),Datos!BW10," - ")</f>
        <v xml:space="preserve"> - </v>
      </c>
      <c r="BF10" s="762" t="str">
        <f>IF(ISNUMBER(Datos!BX10),Datos!BX10," - ")</f>
        <v xml:space="preserve"> - </v>
      </c>
      <c r="BG10" s="763">
        <f>IF(ISNUMBER(Datos!K10/Datos!J10),Datos!K10/Datos!J10," - ")</f>
        <v>0.80503144654088055</v>
      </c>
      <c r="BH10" s="764">
        <f>IF(ISNUMBER(((Datos!L10/Datos!K10)*11)/factor_trimestre),((Datos!L10/Datos!K10)*11)/factor_trimestre," - ")</f>
        <v>10.0546875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0.16666666666666666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6</v>
      </c>
      <c r="F14" s="1197">
        <f t="shared" si="1"/>
        <v>86</v>
      </c>
      <c r="G14" s="1197">
        <f t="shared" si="1"/>
        <v>100</v>
      </c>
      <c r="H14" s="1198">
        <f t="shared" si="1"/>
        <v>0</v>
      </c>
      <c r="I14" s="1197">
        <f t="shared" si="1"/>
        <v>0</v>
      </c>
      <c r="J14" s="1164">
        <f t="shared" si="1"/>
        <v>0</v>
      </c>
      <c r="K14" s="1164">
        <f t="shared" si="1"/>
        <v>0</v>
      </c>
      <c r="L14" s="1198">
        <f t="shared" si="1"/>
        <v>0</v>
      </c>
      <c r="M14" s="1198">
        <f t="shared" si="1"/>
        <v>0</v>
      </c>
      <c r="N14" s="1198">
        <f t="shared" si="1"/>
        <v>540</v>
      </c>
      <c r="O14" s="1199">
        <f t="shared" si="1"/>
        <v>0</v>
      </c>
      <c r="P14" s="1199">
        <f t="shared" si="1"/>
        <v>0</v>
      </c>
      <c r="Q14" s="1198">
        <f t="shared" si="1"/>
        <v>2149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128</v>
      </c>
      <c r="AC14" s="1198">
        <f t="shared" si="2"/>
        <v>2804</v>
      </c>
      <c r="AD14" s="1198">
        <f t="shared" si="2"/>
        <v>0</v>
      </c>
      <c r="AE14" s="1198">
        <f t="shared" si="2"/>
        <v>0</v>
      </c>
      <c r="AF14" s="1198">
        <f t="shared" si="2"/>
        <v>117</v>
      </c>
      <c r="AG14" s="1198">
        <f t="shared" si="2"/>
        <v>0</v>
      </c>
      <c r="AH14" s="1198">
        <f t="shared" si="2"/>
        <v>81</v>
      </c>
      <c r="AI14" s="1198">
        <f t="shared" si="2"/>
        <v>0</v>
      </c>
      <c r="AJ14" s="1198">
        <f t="shared" si="2"/>
        <v>0</v>
      </c>
      <c r="AK14" s="1198">
        <f t="shared" si="2"/>
        <v>0</v>
      </c>
      <c r="AL14" s="1198">
        <f t="shared" si="2"/>
        <v>0</v>
      </c>
      <c r="AM14" s="1198">
        <f t="shared" si="2"/>
        <v>7258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1820</v>
      </c>
      <c r="BD14" s="1198">
        <f t="shared" si="2"/>
        <v>3391</v>
      </c>
      <c r="BE14" s="1198">
        <f t="shared" si="2"/>
        <v>0</v>
      </c>
      <c r="BF14" s="1198">
        <f t="shared" si="2"/>
        <v>0</v>
      </c>
      <c r="BG14" s="1198">
        <f>IF(ISNUMBER(Datos!K14/Datos!J14),Datos!K14/Datos!J14," - ")</f>
        <v>0.9423311387466472</v>
      </c>
      <c r="BH14" s="1202">
        <f>IF(ISNUMBER(((Datos!L14/Datos!K14)*11)/factor_trimestre),((Datos!L14/Datos!K14)*11)/factor_trimestre," - ")</f>
        <v>8.0240652089532922</v>
      </c>
      <c r="BI14" s="1198">
        <f>IF(ISNUMBER('Resol  Asuntos'!D14/NºAsuntos!G14),'Resol  Asuntos'!D14/NºAsuntos!G14," - ")</f>
        <v>0.22036566170238528</v>
      </c>
      <c r="BJ14" s="1198" t="str">
        <f>IF(ISNUMBER(Datos!CI14/Datos!CJ14),Datos!CI14/Datos!CJ14," - ")</f>
        <v xml:space="preserve"> - </v>
      </c>
      <c r="BK14" s="1198">
        <f>SUBTOTAL(9,BK8:BK13)</f>
        <v>0</v>
      </c>
      <c r="BL14" s="1198">
        <f>IF(ISNUMBER((I14-AB14+L14)/(F14)),(I14-AB14+L14)/(F14)," - ")</f>
        <v>-1.4883720930232558</v>
      </c>
      <c r="BM14" s="1203">
        <f>SUBTOTAL(9,BM9:BM13)</f>
        <v>8.1793466717641553E-2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1401</v>
      </c>
      <c r="G16" s="743">
        <f>IF(ISNUMBER(IF(D_I="SI",Datos!I16,Datos!I16+Datos!AC16)),IF(D_I="SI",Datos!I16,Datos!I16+Datos!AC16)," - ")</f>
        <v>1180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468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11912</v>
      </c>
      <c r="AC16" s="240">
        <f>IF(ISNUMBER(Datos!Q16),Datos!Q16," - ")</f>
        <v>508</v>
      </c>
      <c r="AD16" s="374"/>
      <c r="AE16" s="562"/>
      <c r="AF16" s="741">
        <f>IF(ISNUMBER(IF(D_I="SI",Datos!L16,Datos!L16+Datos!AF16)),IF(D_I="SI",Datos!L16,Datos!L16+Datos!AF16)," - ")</f>
        <v>1499</v>
      </c>
      <c r="AG16" s="374"/>
      <c r="AH16" s="374"/>
      <c r="AI16" s="374"/>
      <c r="AJ16" s="549"/>
      <c r="AK16" s="374"/>
      <c r="AL16" s="545"/>
      <c r="AM16" s="375">
        <f>IF(ISNUMBER(Datos!R16),Datos!R16," - ")</f>
        <v>278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1263</v>
      </c>
      <c r="BD16" s="243">
        <f>IF(ISNUMBER(Datos!N16),Datos!N16," - ")</f>
        <v>7589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0.99184013322231479</v>
      </c>
      <c r="BH16" s="764">
        <f>IF(ISNUMBER(((IF(D_I="SI",Datos!L16/Datos!K16,(Datos!L16+Datos!AF16)/(Datos!K16+Datos!AE16)))*11)/factor_trimestre),((IF(D_I="SI",Datos!L16/Datos!K16,(Datos!L16+Datos!AF16)/(Datos!K16+Datos!AE16)))*11)/factor_trimestre," - ")</f>
        <v>1.3842343854936199</v>
      </c>
      <c r="BI16" s="266">
        <f>IF(ISNUMBER('Resol  Asuntos'!D16/NºAsuntos!G16),'Resol  Asuntos'!D16/NºAsuntos!G16," - ")</f>
        <v>0.10602753525856279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245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1012</v>
      </c>
      <c r="AC18" s="547">
        <f>IF(ISNUMBER(Datos!Q18),Datos!Q18," - ")</f>
        <v>17</v>
      </c>
      <c r="AD18" s="549"/>
      <c r="AE18" s="562"/>
      <c r="AF18" s="551">
        <f>IF(ISNUMBER(Datos!L18),Datos!L18,"-")</f>
        <v>301</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91</v>
      </c>
      <c r="BD18" s="693">
        <f>IF(ISNUMBER(Datos!N18),Datos!N18," - ")</f>
        <v>572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0.95471698113207548</v>
      </c>
      <c r="BH18" s="764">
        <f>IF(ISNUMBER(((IF(D_I="SI",Datos!L18/Datos!K18,(Datos!L18+Datos!AF18)/(Datos!K18+Datos!AE18)))*11)/factor_trimestre),((IF(D_I="SI",Datos!L18/Datos!K18,(Datos!L18+Datos!AF18)/(Datos!K18+Datos!AE18)))*11)/factor_trimestre," - ")</f>
        <v>3.2717391304347827</v>
      </c>
      <c r="BI18" s="763">
        <f>IF(ISNUMBER('Resol  Asuntos'!D18/NºAsuntos!G18),'Resol  Asuntos'!D18/NºAsuntos!G18," - ")</f>
        <v>8.9920948616600785E-2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1401</v>
      </c>
      <c r="G23" s="1197">
        <f>SUBTOTAL(9,G16:G22)</f>
        <v>1425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479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12924</v>
      </c>
      <c r="AC23" s="1198">
        <f t="shared" si="5"/>
        <v>525</v>
      </c>
      <c r="AD23" s="1198">
        <f t="shared" si="5"/>
        <v>0</v>
      </c>
      <c r="AE23" s="1198">
        <f t="shared" si="5"/>
        <v>0</v>
      </c>
      <c r="AF23" s="1198">
        <f t="shared" si="5"/>
        <v>1800</v>
      </c>
      <c r="AG23" s="1198">
        <f t="shared" si="5"/>
        <v>0</v>
      </c>
      <c r="AH23" s="1198">
        <f t="shared" si="5"/>
        <v>0</v>
      </c>
      <c r="AI23" s="1198">
        <f t="shared" si="5"/>
        <v>0</v>
      </c>
      <c r="AJ23" s="1198">
        <f t="shared" si="5"/>
        <v>0</v>
      </c>
      <c r="AK23" s="1198">
        <f t="shared" si="5"/>
        <v>0</v>
      </c>
      <c r="AL23" s="1198">
        <f t="shared" si="5"/>
        <v>0</v>
      </c>
      <c r="AM23" s="1198">
        <f t="shared" si="5"/>
        <v>280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1354</v>
      </c>
      <c r="BD23" s="1198">
        <f t="shared" si="5"/>
        <v>8161</v>
      </c>
      <c r="BE23" s="1198">
        <f t="shared" si="5"/>
        <v>0</v>
      </c>
      <c r="BF23" s="1198">
        <f t="shared" si="5"/>
        <v>0</v>
      </c>
      <c r="BG23" s="1198">
        <f>IF(ISNUMBER(Datos!K23/Datos!J23),Datos!K23/Datos!J23," - ")</f>
        <v>0.98882938026013767</v>
      </c>
      <c r="BH23" s="1202">
        <f>IF(ISNUMBER(((Datos!L23/Datos!K23)*11)/factor_trimestre),((Datos!L23/Datos!K23)*11)/factor_trimestre," - ")</f>
        <v>1.532033426183844</v>
      </c>
      <c r="BI23" s="1198">
        <f>SUBTOTAL(9,BI16:BI22)</f>
        <v>0.19594848387516356</v>
      </c>
      <c r="BJ23" s="1198">
        <f>SUBTOTAL(9,BJ16:BJ22)</f>
        <v>0</v>
      </c>
      <c r="BK23" s="1198">
        <f>SUBTOTAL(9,BK16:BK22)</f>
        <v>0</v>
      </c>
      <c r="BL23" s="1198">
        <f>IF(ISNUMBER((I23-AB23+L23)/(F23)),(I23-AB23+L23)/(F23)," - ")</f>
        <v>-9.2248394004282659</v>
      </c>
      <c r="BM23" s="1205">
        <f>IF(ISNUMBER((Datos!P23-Datos!Q23)/(Datos!R23-Datos!P23+Datos!Q23)),(Datos!P23-Datos!Q23)/(Datos!R23-Datos!P23+Datos!Q23)," - ")</f>
        <v>-0.1411042944785276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11</v>
      </c>
      <c r="F31" s="1117">
        <f t="shared" si="18"/>
        <v>1487</v>
      </c>
      <c r="G31" s="1117">
        <f t="shared" si="18"/>
        <v>1525</v>
      </c>
      <c r="H31" s="1119">
        <f t="shared" si="18"/>
        <v>0</v>
      </c>
      <c r="I31" s="1117">
        <f t="shared" si="18"/>
        <v>0</v>
      </c>
      <c r="J31" s="1119">
        <f t="shared" si="18"/>
        <v>0</v>
      </c>
      <c r="K31" s="1119">
        <f t="shared" si="18"/>
        <v>0</v>
      </c>
      <c r="L31" s="1180">
        <f t="shared" si="18"/>
        <v>0</v>
      </c>
      <c r="M31" s="1180">
        <f t="shared" si="18"/>
        <v>0</v>
      </c>
      <c r="N31" s="1180">
        <f t="shared" si="18"/>
        <v>540</v>
      </c>
      <c r="O31" s="1180">
        <f t="shared" si="18"/>
        <v>0</v>
      </c>
      <c r="P31" s="1180">
        <f t="shared" si="18"/>
        <v>0</v>
      </c>
      <c r="Q31" s="1119">
        <f t="shared" si="18"/>
        <v>2628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13052</v>
      </c>
      <c r="AC31" s="1118">
        <f t="shared" si="19"/>
        <v>3329</v>
      </c>
      <c r="AD31" s="1118">
        <f t="shared" si="19"/>
        <v>0</v>
      </c>
      <c r="AE31" s="1118">
        <f t="shared" si="19"/>
        <v>0</v>
      </c>
      <c r="AF31" s="1125">
        <f t="shared" si="19"/>
        <v>1917</v>
      </c>
      <c r="AG31" s="1125">
        <f t="shared" si="19"/>
        <v>0</v>
      </c>
      <c r="AH31" s="1125">
        <f t="shared" si="19"/>
        <v>81</v>
      </c>
      <c r="AI31" s="1125">
        <f t="shared" si="19"/>
        <v>0</v>
      </c>
      <c r="AJ31" s="1118">
        <f t="shared" si="19"/>
        <v>0</v>
      </c>
      <c r="AK31" s="1125">
        <f t="shared" si="19"/>
        <v>0</v>
      </c>
      <c r="AL31" s="1125">
        <f t="shared" si="19"/>
        <v>0</v>
      </c>
      <c r="AM31" s="1125">
        <f t="shared" si="19"/>
        <v>7538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3174</v>
      </c>
      <c r="BD31" s="1117">
        <f t="shared" si="19"/>
        <v>11552</v>
      </c>
      <c r="BE31" s="1117">
        <f t="shared" si="19"/>
        <v>0</v>
      </c>
      <c r="BF31" s="1127">
        <f t="shared" si="19"/>
        <v>0</v>
      </c>
      <c r="BG31" s="1223">
        <f>IF(ISNUMBER(Datos!K31/Datos!J31),Datos!K31/Datos!J31," - ")</f>
        <v>0.97090071455434379</v>
      </c>
      <c r="BH31" s="1223">
        <f>IF(ISNUMBER(((Datos!L31/Datos!K31)*11)/factor_trimestre),((Datos!L31/Datos!K31)*11)/factor_trimestre," - ")</f>
        <v>3.9615552220016466</v>
      </c>
      <c r="BI31" s="1103">
        <f>IF(ISNUMBER(Datos!J31/Datos!I31),Datos!J31/Datos!I31," - ")</f>
        <v>3.3856438007321343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-8.7774041694687295</v>
      </c>
      <c r="BM31" s="1188">
        <f>IF(ISNUMBER((Datos!P31-Datos!Q31+R31)/(Datos!R31-Datos!P31+Datos!Q31-R31)),(Datos!P31-Datos!Q31+R31)/(Datos!R31-Datos!P31+Datos!Q31-R31)," - ")</f>
        <v>-8.5083141157907508E-2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435.71428571428572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2.0886773564663366</v>
      </c>
      <c r="F33" s="673">
        <f>IF(ISNUMBER(STDEV(F8:F30)),STDEV(F8:F30),"-")</f>
        <v>702.32205338196991</v>
      </c>
      <c r="G33" s="674">
        <f>IF(ISNUMBER(STDEV(G8:G30)),STDEV(G8:G30),"-")</f>
        <v>601.95811434731195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5953.1068479288306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833.93559189458483</v>
      </c>
      <c r="BD33" s="673"/>
      <c r="BE33" s="673">
        <f>IF(ISNUMBER(STDEV(BE8:BE30)),STDEV(BE8:BE30),"-")</f>
        <v>0</v>
      </c>
      <c r="BF33" s="678">
        <f>IF(ISNUMBER(STDEV(BF8:BF30)),STDEV(BF8:BF30),"-")</f>
        <v>0</v>
      </c>
      <c r="BG33" s="1052">
        <f>IF(ISNUMBER(STDEV(BG8:BG30)),STDEV(BG8:BG30),"-")</f>
        <v>6.8626097412679249E-2</v>
      </c>
      <c r="BH33" s="1058">
        <f>IF(ISNUMBER(STDEV(BH8:BH30)),STDEV(BH8:BH30),"-")</f>
        <v>3.7111755409720137</v>
      </c>
      <c r="BI33" s="273">
        <f>IF(ISNUMBER(STDEV(BI8:BI30)),STDEV(BI8:BI30),"-")</f>
        <v>6.47252309575721E-2</v>
      </c>
      <c r="BJ33" s="244" t="str">
        <f>IF(ISNUMBER(BL33/BM33),BL33/BM33," - ")</f>
        <v xml:space="preserve"> - </v>
      </c>
      <c r="BK33" s="709"/>
      <c r="BL33" s="681">
        <f>IF(ISNUMBER(STDEV(BL8:BL30)),STDEV(BL8:BL30),"-")</f>
        <v>5.4705084954941139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fXXEzaYF+7O+2OTY6yaBtjb9AVKBW/SDZUZIFhFWDkO2v5ycAspKDXspGitIL68WLzuZ2FapE4IW3qMbGALxg==" saltValue="F2kwzzYXIBoJNI+k9SyW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FUENGIROLA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2118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2784</v>
      </c>
      <c r="AA9" s="551" t="str">
        <f>IF(ISNUMBER(IF(J_V="SI",Datos!L9,Datos!L9+Datos!AB9)-IF(Monitorios="SI",Datos!CD9,0)),
                          IF(J_V="SI",Datos!L9,Datos!L9+Datos!AB9)-IF(Monitorios="SI",Datos!CD9,0),
                          " - ")</f>
        <v xml:space="preserve"> - </v>
      </c>
      <c r="AB9" s="549"/>
      <c r="AC9" s="549"/>
      <c r="AD9" s="563"/>
      <c r="AE9" s="563">
        <f>IF(ISNUMBER(Datos!R9),Datos!R9," - ")</f>
        <v>7181</v>
      </c>
      <c r="AF9" s="693" t="str">
        <f>IF(ISNUMBER(Datos!BV9),Datos!BV9," - ")</f>
        <v xml:space="preserve"> - </v>
      </c>
      <c r="AG9" s="552" t="str">
        <f>IF(ISNUMBER(Datos!DV9),Datos!DV9," - ")</f>
        <v xml:space="preserve"> - </v>
      </c>
      <c r="AH9" s="553"/>
      <c r="AI9" s="554"/>
      <c r="AJ9" s="552">
        <f>IF(ISNUMBER(Datos!M9),Datos!M9," - ")</f>
        <v>1776</v>
      </c>
      <c r="AK9" s="693">
        <f>IF(ISNUMBER(Datos!N9),Datos!N9," - ")</f>
        <v>3331</v>
      </c>
      <c r="AL9" s="693" t="str">
        <f>IF(ISNUMBER(Datos!BW9),Datos!BW9," - ")</f>
        <v xml:space="preserve"> - </v>
      </c>
      <c r="AM9" s="762" t="str">
        <f>IF(ISNUMBER(Datos!BX9),Datos!BX9," - ")</f>
        <v xml:space="preserve"> - </v>
      </c>
      <c r="AN9" s="763"/>
      <c r="AO9" s="764">
        <f>IF(ISNUMBER(((NºAsuntos!I9/NºAsuntos!G9)*11)/factor_trimestre),((NºAsuntos!I9/NºAsuntos!G9)*11)/factor_trimestre," - ")</f>
        <v>7.578649612593777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-8.4873199949025105E-2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86</v>
      </c>
      <c r="G10" s="552">
        <f>IF(ISNUMBER(Datos!I10),Datos!I10," - ")</f>
        <v>100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128</v>
      </c>
      <c r="Z10" s="805">
        <f>IF(ISNUMBER(Datos!Q10),Datos!Q10," - ")</f>
        <v>20</v>
      </c>
      <c r="AA10" s="551">
        <f>IF(ISNUMBER(Datos!L10),Datos!L10,"-")</f>
        <v>117</v>
      </c>
      <c r="AB10" s="549"/>
      <c r="AC10" s="549"/>
      <c r="AD10" s="563"/>
      <c r="AE10" s="563">
        <f>IF(ISNUMBER(Datos!R10),Datos!R10," - ")</f>
        <v>77</v>
      </c>
      <c r="AF10" s="693" t="str">
        <f>IF(ISNUMBER(Datos!BV10),Datos!BV10," - ")</f>
        <v xml:space="preserve"> - </v>
      </c>
      <c r="AG10" s="552" t="str">
        <f>IF(ISNUMBER(Datos!DV10),Datos!DV10," - ")</f>
        <v xml:space="preserve"> - </v>
      </c>
      <c r="AH10" s="553"/>
      <c r="AI10" s="554"/>
      <c r="AJ10" s="552">
        <f>IF(ISNUMBER(Datos!M10),Datos!M10," - ")</f>
        <v>44</v>
      </c>
      <c r="AK10" s="693">
        <f>IF(ISNUMBER(Datos!N10),Datos!N10," - ")</f>
        <v>60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10.0546875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0.16666666666666666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6</v>
      </c>
      <c r="F14" s="1197">
        <f>SUBTOTAL(9,F8:F13)</f>
        <v>86</v>
      </c>
      <c r="G14" s="1197">
        <f>SUBTOTAL(9,G8:G13)</f>
        <v>100</v>
      </c>
      <c r="H14" s="1211"/>
      <c r="I14" s="1197">
        <f t="shared" ref="I14:N14" si="1">SUBTOTAL(9,I8:I13)</f>
        <v>0</v>
      </c>
      <c r="J14" s="1164">
        <f t="shared" si="1"/>
        <v>0</v>
      </c>
      <c r="K14" s="1211">
        <f t="shared" si="1"/>
        <v>0</v>
      </c>
      <c r="L14" s="1211">
        <f t="shared" si="1"/>
        <v>0</v>
      </c>
      <c r="M14" s="1211">
        <f t="shared" si="1"/>
        <v>0</v>
      </c>
      <c r="N14" s="1211">
        <f t="shared" si="1"/>
        <v>2149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128</v>
      </c>
      <c r="Z14" s="1210">
        <f t="shared" si="3"/>
        <v>2804</v>
      </c>
      <c r="AA14" s="1199">
        <f t="shared" si="3"/>
        <v>117</v>
      </c>
      <c r="AB14" s="1199">
        <f t="shared" si="3"/>
        <v>0</v>
      </c>
      <c r="AC14" s="1199">
        <f t="shared" si="3"/>
        <v>0</v>
      </c>
      <c r="AD14" s="1199">
        <f t="shared" si="3"/>
        <v>0</v>
      </c>
      <c r="AE14" s="1199">
        <f t="shared" si="3"/>
        <v>7258</v>
      </c>
      <c r="AF14" s="1211">
        <f t="shared" si="3"/>
        <v>0</v>
      </c>
      <c r="AG14" s="1211">
        <f t="shared" si="3"/>
        <v>0</v>
      </c>
      <c r="AH14" s="1211">
        <f t="shared" si="3"/>
        <v>0</v>
      </c>
      <c r="AI14" s="1211">
        <f t="shared" si="3"/>
        <v>0</v>
      </c>
      <c r="AJ14" s="1211">
        <f t="shared" si="3"/>
        <v>1820</v>
      </c>
      <c r="AK14" s="1211">
        <f t="shared" si="3"/>
        <v>3391</v>
      </c>
      <c r="AL14" s="1211">
        <f t="shared" si="3"/>
        <v>0</v>
      </c>
      <c r="AM14" s="1211">
        <f t="shared" si="3"/>
        <v>0</v>
      </c>
      <c r="AN14" s="1211">
        <f t="shared" si="3"/>
        <v>0</v>
      </c>
      <c r="AO14" s="1203">
        <f>IF(ISNUMBER(((NºAsuntos!I14/NºAsuntos!G14)*11)/factor_trimestre),((NºAsuntos!I14/NºAsuntos!G14)*11)/factor_trimestre," - ")</f>
        <v>7.6170238527666783</v>
      </c>
      <c r="AP14" s="1213" t="str">
        <f>IF(ISNUMBER(Datos!CI14/Datos!CJ14),Datos!CI14/Datos!CJ14," - ")</f>
        <v xml:space="preserve"> - </v>
      </c>
      <c r="AQ14" s="1236">
        <f t="shared" ref="AQ14:AV14" si="4">SUBTOTAL(9,AQ9:AQ13)</f>
        <v>0</v>
      </c>
      <c r="AR14" s="1236">
        <f t="shared" si="4"/>
        <v>8.1793466717641553E-2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1401</v>
      </c>
      <c r="G16" s="552">
        <f>IF(ISNUMBER(IF(D_I="SI",Datos!I16,Datos!I16+Datos!AC16)),IF(D_I="SI",Datos!I16,Datos!I16+Datos!AC16)," - ")</f>
        <v>1180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468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11912</v>
      </c>
      <c r="Z16" s="805">
        <f>IF(ISNUMBER(Datos!Q16),Datos!Q16," - ")</f>
        <v>508</v>
      </c>
      <c r="AA16" s="551">
        <f>IF(ISNUMBER(IF(D_I="SI",Datos!L16,Datos!L16+Datos!AF16)),IF(D_I="SI",Datos!L16,Datos!L16+Datos!AF16)," - ")</f>
        <v>1499</v>
      </c>
      <c r="AB16" s="549"/>
      <c r="AC16" s="549"/>
      <c r="AD16" s="563"/>
      <c r="AE16" s="563">
        <f>IF(ISNUMBER(Datos!R16),Datos!R16," - ")</f>
        <v>278</v>
      </c>
      <c r="AF16" s="693" t="str">
        <f>IF(ISNUMBER(Datos!BV16),Datos!BV16," - ")</f>
        <v xml:space="preserve"> - </v>
      </c>
      <c r="AG16" s="552"/>
      <c r="AH16" s="553"/>
      <c r="AI16" s="554"/>
      <c r="AJ16" s="552">
        <f>IF(ISNUMBER(Datos!M16),Datos!M16," - ")</f>
        <v>1263</v>
      </c>
      <c r="AK16" s="693">
        <f>IF(ISNUMBER(Datos!N16),Datos!N16," - ")</f>
        <v>7589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1.3842343854936199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245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1012</v>
      </c>
      <c r="Z18" s="805">
        <f>IF(ISNUMBER(Datos!Q18),Datos!Q18," - ")</f>
        <v>17</v>
      </c>
      <c r="AA18" s="551">
        <f>IF(ISNUMBER(Datos!L18),Datos!L18,"-")</f>
        <v>301</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91</v>
      </c>
      <c r="AK18" s="693">
        <f>IF(ISNUMBER(Datos!N18),Datos!N18," - ")</f>
        <v>572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3.2717391304347827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1401</v>
      </c>
      <c r="G23" s="1197">
        <f>SUBTOTAL(9,G16:G22)</f>
        <v>1425</v>
      </c>
      <c r="H23" s="1240">
        <f>SUBTOTAL(9,H16:H22)</f>
        <v>0</v>
      </c>
      <c r="I23" s="1217">
        <f>SUBTOTAL(9,I16:I22)</f>
        <v>0</v>
      </c>
      <c r="J23" s="1164">
        <f>SUBTOTAL(9,J15:J22)</f>
        <v>0</v>
      </c>
      <c r="K23" s="1240">
        <f t="shared" ref="K23:S23" si="5">SUBTOTAL(9,K16:K22)</f>
        <v>0</v>
      </c>
      <c r="L23" s="1240">
        <f t="shared" si="5"/>
        <v>0</v>
      </c>
      <c r="M23" s="1240">
        <f t="shared" si="5"/>
        <v>0</v>
      </c>
      <c r="N23" s="1240">
        <f t="shared" si="5"/>
        <v>479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12924</v>
      </c>
      <c r="Z23" s="1240">
        <f t="shared" si="6"/>
        <v>525</v>
      </c>
      <c r="AA23" s="1240">
        <f t="shared" si="6"/>
        <v>1800</v>
      </c>
      <c r="AB23" s="1240">
        <f t="shared" si="6"/>
        <v>0</v>
      </c>
      <c r="AC23" s="1240">
        <f t="shared" si="6"/>
        <v>0</v>
      </c>
      <c r="AD23" s="1240">
        <f t="shared" si="6"/>
        <v>0</v>
      </c>
      <c r="AE23" s="1240">
        <f t="shared" si="6"/>
        <v>280</v>
      </c>
      <c r="AF23" s="1240">
        <f t="shared" si="6"/>
        <v>0</v>
      </c>
      <c r="AG23" s="1240">
        <f t="shared" si="6"/>
        <v>0</v>
      </c>
      <c r="AH23" s="1240">
        <f t="shared" si="6"/>
        <v>0</v>
      </c>
      <c r="AI23" s="1240">
        <f t="shared" si="6"/>
        <v>0</v>
      </c>
      <c r="AJ23" s="1240">
        <f t="shared" si="6"/>
        <v>1354</v>
      </c>
      <c r="AK23" s="1240">
        <f t="shared" si="6"/>
        <v>8161</v>
      </c>
      <c r="AL23" s="1240">
        <f t="shared" si="6"/>
        <v>0</v>
      </c>
      <c r="AM23" s="1240">
        <f t="shared" si="6"/>
        <v>0</v>
      </c>
      <c r="AN23" s="1240">
        <f t="shared" si="6"/>
        <v>0</v>
      </c>
      <c r="AO23" s="1242">
        <f>IF(ISNUMBER(((NºAsuntos!I23/NºAsuntos!G23)*11)/factor_trimestre),((NºAsuntos!I23/NºAsuntos!G23)*11)/factor_trimestre," - ")</f>
        <v>1.532033426183844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1487</v>
      </c>
      <c r="G31" s="1117">
        <f t="shared" si="12"/>
        <v>1525</v>
      </c>
      <c r="H31" s="1118">
        <f t="shared" si="12"/>
        <v>0</v>
      </c>
      <c r="I31" s="1117">
        <f t="shared" si="12"/>
        <v>0</v>
      </c>
      <c r="J31" s="1119">
        <f t="shared" si="12"/>
        <v>0</v>
      </c>
      <c r="K31" s="1117">
        <f t="shared" si="12"/>
        <v>0</v>
      </c>
      <c r="L31" s="1120">
        <f t="shared" si="12"/>
        <v>0</v>
      </c>
      <c r="M31" s="1117">
        <f t="shared" si="12"/>
        <v>0</v>
      </c>
      <c r="N31" s="1118">
        <f t="shared" si="12"/>
        <v>2628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13052</v>
      </c>
      <c r="Z31" s="1124">
        <f t="shared" si="13"/>
        <v>3329</v>
      </c>
      <c r="AA31" s="1125">
        <f t="shared" si="13"/>
        <v>1917</v>
      </c>
      <c r="AB31" s="1125">
        <f t="shared" si="13"/>
        <v>0</v>
      </c>
      <c r="AC31" s="1125">
        <f t="shared" si="13"/>
        <v>0</v>
      </c>
      <c r="AD31" s="1126">
        <f t="shared" si="13"/>
        <v>0</v>
      </c>
      <c r="AE31" s="1126">
        <f t="shared" si="13"/>
        <v>7538</v>
      </c>
      <c r="AF31" s="1127">
        <f t="shared" si="13"/>
        <v>0</v>
      </c>
      <c r="AG31" s="1128">
        <f t="shared" si="13"/>
        <v>0</v>
      </c>
      <c r="AH31" s="1129">
        <f t="shared" si="13"/>
        <v>0</v>
      </c>
      <c r="AI31" s="1127">
        <f t="shared" si="13"/>
        <v>0</v>
      </c>
      <c r="AJ31" s="1117">
        <f t="shared" si="13"/>
        <v>3174</v>
      </c>
      <c r="AK31" s="1117">
        <f t="shared" si="13"/>
        <v>11552</v>
      </c>
      <c r="AL31" s="1117">
        <f t="shared" si="13"/>
        <v>0</v>
      </c>
      <c r="AM31" s="1130">
        <f t="shared" si="13"/>
        <v>0</v>
      </c>
      <c r="AN31" s="1120">
        <f>IF(ISNUMBER(Datos!K31/Datos!J31),Datos!K31/Datos!J31," - ")</f>
        <v>0.97090071455434379</v>
      </c>
      <c r="AO31" s="1120">
        <f>IF(ISNUMBER(FIND("06",Criterios!A8,1)),(IF(ISNUMBER(((Datos!R31/Datos!Q31)*11)/factor_trimestre),((Datos!R31/Datos!Q31)*11)/factor_trimestre," - ")),(IF(ISNUMBER(((Datos!L31/Datos!K31)*11)/factor_trimestre),((Datos!L31/Datos!K31)*11)/factor_trimestre," - ")))</f>
        <v>3.9615552220016466</v>
      </c>
      <c r="AP31" s="1131" t="str">
        <f>IF(ISNUMBER(Datos!CI31/Datos!CJ31),Datos!CI31/Datos!CJ31," - ")</f>
        <v xml:space="preserve"> - </v>
      </c>
      <c r="AQ31" s="1131">
        <f>IF(OR(ISNUMBER(FIND("01",Criterios!A8,1)),ISNUMBER(FIND("02",Criterios!A8,1)),ISNUMBER(FIND("03",Criterios!A8,1)),ISNUMBER(FIND("04",Criterios!A8,1))),(J31-Y31+K31)/(F31-K31),(I31-Y31+K31)/(F31-K31))</f>
        <v>-8.7774041694687295</v>
      </c>
      <c r="AR31" s="1131">
        <f>IF(ISNUMBER((Datos!P31-Datos!Q31+O31)/(Datos!R31-Datos!P31+Datos!Q31-O31)),(Datos!P31-Datos!Q31+O31)/(Datos!R31-Datos!P31+Datos!Q31-O31)," - ")</f>
        <v>-8.5083141157907508E-2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435.71428571428572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702.32205338196991</v>
      </c>
      <c r="G33" s="674">
        <f>IF(ISNUMBER(STDEV(G8:G30)),STDEV(G8:G30),"-")</f>
        <v>601.95811434731195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833.93559189458483</v>
      </c>
      <c r="AK33" s="276"/>
      <c r="AL33" s="276">
        <f>IF(ISNUMBER(STDEV(AL8:AL30)),STDEV(AL8:AL30),"-")</f>
        <v>0</v>
      </c>
      <c r="AM33" s="278">
        <f>IF(ISNUMBER(STDEV(AM8:AM30)),STDEV(AM8:AM30),"-")</f>
        <v>0</v>
      </c>
      <c r="AN33" s="660">
        <f>IF(ISNUMBER(STDEV(AN8:AN30)),STDEV(AN8:AN30),"-")</f>
        <v>0</v>
      </c>
      <c r="AO33" s="661">
        <f>IF(ISNUMBER(STDEV(AO8:AO30)),STDEV(AO8:AO30),"-")</f>
        <v>3.654879891953168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5v59VfqMpZwA3S7krKWtPHINulFzhrewF4s+osy9zgdMrNQ1EnJrfP/EyiSdTNXqGlr23n7hvdTYvS4wSkyw==" saltValue="RK7yV44Q426GB5bVgv1D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HawhqWa8mcE39WandiEyvXlA9nlrKOzt06f5F5A6WEDhP55OAkZUjFcA76NHg7ZNJ3JK3Amh7zJDlZI6Cxr4w==" saltValue="H8/WWMz9Qb3T6GYhZPgd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5SwwczYJE5dudTnmKHc+GNZTm38ehIoRI0c5uEpaKINUwS8TisBzyEZCS3lPZ7/Vkyw+A5nv9a3zWLus3u4uw==" saltValue="4e84+rcIbwllJ2PjIRTc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FUENGIROLA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0.22036566170238528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0.1558220537304173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KmdNiSSaIlyuWcQ/vwsEgOSOzynU1rVhVWfEdpb/dafVK4ZYVq5iyn6cVqxe80GFRL3Jf04AsARfRN0lq288Q==" saltValue="4foRlHXlc/PRHa0LPelM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eANq3cxjPQZeicc21f1Da9rMsq0XAsVsM2ryQ4+2J1Yzm3dBM4ltT5c+SN9JjeKVcVI1UQDSvulUXC3ac2rHg==" saltValue="zn37EXwIRPrFi1ECqIEQ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FUENGIROLA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4847</v>
      </c>
      <c r="D9" s="452">
        <f>IF(ISNUMBER(C9/Datos!BH9),C9/Datos!BH9," - ")</f>
        <v>969.4</v>
      </c>
      <c r="E9" s="451">
        <f>IF(ISNUMBER(IF(J_V="SI",Datos!J9,Datos!J9+Datos!Z9)),IF(J_V="SI",Datos!J9,Datos!J9+Datos!Z9)," - ")</f>
        <v>8583</v>
      </c>
      <c r="F9" s="452">
        <f>IF(ISNUMBER(E9/B9),E9/B9," - ")</f>
        <v>1716.6</v>
      </c>
      <c r="G9" s="451">
        <f>IF(ISNUMBER(IF(J_V="SI",Datos!K9,Datos!K9+Datos!AA9)),IF(J_V="SI",Datos!K9,Datos!K9+Datos!AA9)," - ")</f>
        <v>8131</v>
      </c>
      <c r="H9" s="452">
        <f>IF(ISNUMBER(G9/B9),G9/B9," - ")</f>
        <v>1626.2</v>
      </c>
      <c r="I9" s="451">
        <f>IF(ISNUMBER(IF(J_V="SI",Datos!L9,Datos!L9+Datos!AB9)),IF(J_V="SI",Datos!L9,Datos!L9+Datos!AB9)," - ")</f>
        <v>5602</v>
      </c>
      <c r="J9" s="452">
        <f>IF(ISNUMBER(I9/B9),I9/B9," - ")</f>
        <v>1120.4000000000001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100</v>
      </c>
      <c r="D10" s="452">
        <f>IF(ISNUMBER(C10/Datos!BH10),C10/Datos!BH10," - ")</f>
        <v>100</v>
      </c>
      <c r="E10" s="451">
        <f>IF(ISNUMBER(Datos!J10),Datos!J10," - ")</f>
        <v>159</v>
      </c>
      <c r="F10" s="452">
        <f>IF(ISNUMBER(E10/B10),E10/B10," - ")</f>
        <v>159</v>
      </c>
      <c r="G10" s="451">
        <f>IF(ISNUMBER(Datos!K10),Datos!K10," - ")</f>
        <v>128</v>
      </c>
      <c r="H10" s="452">
        <f>IF(ISNUMBER(G10/B10),G10/B10," - ")</f>
        <v>128</v>
      </c>
      <c r="I10" s="451">
        <f>IF(ISNUMBER(Datos!L10),Datos!L10," - ")</f>
        <v>117</v>
      </c>
      <c r="J10" s="452">
        <f>IF(ISNUMBER(I10/B10),I10/B10," - ")</f>
        <v>117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4947</v>
      </c>
      <c r="D14" s="1147" t="str">
        <f>IF(ISNUMBER(C14/Datos!BI14),C14/Datos!BI14," - ")</f>
        <v xml:space="preserve"> - </v>
      </c>
      <c r="E14" s="1146">
        <f>SUBTOTAL(9,E8:E13)</f>
        <v>8742</v>
      </c>
      <c r="F14" s="1147">
        <f>IF(ISNUMBER(E14/B14),E14/B14," - ")</f>
        <v>1457</v>
      </c>
      <c r="G14" s="1146">
        <f>SUBTOTAL(9,G8:G13)</f>
        <v>8259</v>
      </c>
      <c r="H14" s="1147">
        <f>IF(ISNUMBER(G14/B14),G14/B14," - ")</f>
        <v>1376.5</v>
      </c>
      <c r="I14" s="1146">
        <f>SUBTOTAL(9,I8:I13)</f>
        <v>5719</v>
      </c>
      <c r="J14" s="1147">
        <f>IF(ISNUMBER(I14/B14),I14/B14," - ")</f>
        <v>953.16666666666663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1180</v>
      </c>
      <c r="D16" s="452">
        <f>IF(ISNUMBER(C16/Datos!BH16),C16/Datos!BH16," - ")</f>
        <v>295</v>
      </c>
      <c r="E16" s="451">
        <f>IF(ISNUMBER(IF(D_I="SI",Datos!J16,Datos!J16+Datos!AD16)),IF(D_I="SI",Datos!J16,Datos!J16+Datos!AD16)," - ")</f>
        <v>12010</v>
      </c>
      <c r="F16" s="452">
        <f>IF(ISNUMBER(E16/B16),E16/B16," - ")</f>
        <v>3002.5</v>
      </c>
      <c r="G16" s="451">
        <f>IF(ISNUMBER(IF(D_I="SI",Datos!K16,Datos!K16+Datos!AE16)),IF(D_I="SI",Datos!K16,Datos!K16+Datos!AE16)," - ")</f>
        <v>11912</v>
      </c>
      <c r="H16" s="452">
        <f>IF(ISNUMBER(G16/B16),G16/B16," - ")</f>
        <v>2978</v>
      </c>
      <c r="I16" s="451">
        <f>IF(ISNUMBER(IF(D_I="SI",Datos!L16,Datos!L16+Datos!AF16)),IF(D_I="SI",Datos!L16,Datos!L16+Datos!AF16)," - ")</f>
        <v>1499</v>
      </c>
      <c r="J16" s="452">
        <f>IF(ISNUMBER(I16/B16),I16/B16," - ")</f>
        <v>374.75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245</v>
      </c>
      <c r="D18" s="452">
        <f>IF(ISNUMBER(C18/Datos!BH18),C18/Datos!BH18," - ")</f>
        <v>245</v>
      </c>
      <c r="E18" s="451">
        <f>IF(ISNUMBER(IF(D_I="SI",Datos!J18,Datos!J18+Datos!AD18)),IF(D_I="SI",Datos!J18,Datos!J18+Datos!AD18)," - ")</f>
        <v>1060</v>
      </c>
      <c r="F18" s="452">
        <f>IF(ISNUMBER(E18/B18),E18/B18," - ")</f>
        <v>1060</v>
      </c>
      <c r="G18" s="451">
        <f>IF(ISNUMBER(IF(D_I="SI",Datos!K18,Datos!K18+Datos!AE18)),IF(D_I="SI",Datos!K18,Datos!K18+Datos!AE18)," - ")</f>
        <v>1012</v>
      </c>
      <c r="H18" s="452">
        <f>IF(ISNUMBER(G18/B18),G18/B18," - ")</f>
        <v>1012</v>
      </c>
      <c r="I18" s="451">
        <f>IF(ISNUMBER(IF(D_I="SI",Datos!L18,Datos!L18+Datos!AF18)),IF(D_I="SI",Datos!L18,Datos!L18+Datos!AF18)," - ")</f>
        <v>301</v>
      </c>
      <c r="J18" s="452">
        <f>IF(ISNUMBER(I18/B18),I18/B18," - ")</f>
        <v>301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1425</v>
      </c>
      <c r="D23" s="1147" t="str">
        <f>IF(ISNUMBER(C23/Datos!BI23),C23/Datos!BI23," - ")</f>
        <v xml:space="preserve"> - </v>
      </c>
      <c r="E23" s="1146">
        <f>SUBTOTAL(9,E15:E22)</f>
        <v>13070</v>
      </c>
      <c r="F23" s="1147">
        <f>IF(ISNUMBER(E23/B23),E23/B23," - ")</f>
        <v>2614</v>
      </c>
      <c r="G23" s="1146">
        <f>SUBTOTAL(9,G15:G22)</f>
        <v>12924</v>
      </c>
      <c r="H23" s="1147">
        <f>IF(ISNUMBER(G23/B23),G23/B23," - ")</f>
        <v>2584.8000000000002</v>
      </c>
      <c r="I23" s="1146">
        <f>SUBTOTAL(9,I15:I22)</f>
        <v>1800</v>
      </c>
      <c r="J23" s="1147">
        <f>IF(ISNUMBER(I23/B23),I23/B23," - ")</f>
        <v>360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6372</v>
      </c>
      <c r="D31" s="1085" t="str">
        <f>IF(ISNUMBER(C31/Datos!BI31),C31/Datos!BI31," - ")</f>
        <v xml:space="preserve"> - </v>
      </c>
      <c r="E31" s="1084">
        <f>SUBTOTAL(9,E9:E30)</f>
        <v>21812</v>
      </c>
      <c r="F31" s="1085">
        <f>IF(ISNUMBER(E31/B31),E31/B31," - ")</f>
        <v>2181.1999999999998</v>
      </c>
      <c r="G31" s="1084">
        <f>SUBTOTAL(9,G9:G30)</f>
        <v>21183</v>
      </c>
      <c r="H31" s="1085">
        <f>IF(ISNUMBER(G31/B31),G31/B31," - ")</f>
        <v>2118.3000000000002</v>
      </c>
      <c r="I31" s="1084">
        <f>SUBTOTAL(9,I9:I30)</f>
        <v>7519</v>
      </c>
      <c r="J31" s="1085">
        <f>IF(ISNUMBER(I31/B31),I31/B31," - ")</f>
        <v>751.9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eHn+/bEQ4MCJFhOxIjPoNVOgvgKsrElf3t064KquKx82aEe58SbCHeaKpwMpqm7AAAknmqigrz3tF+U1EFOKQ==" saltValue="dAxNbcl16NAQxK2Nf2ql6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FUENGIROLA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86</v>
      </c>
      <c r="G10" s="906">
        <f>IF(ISNUMBER(Datos!I10),Datos!I10," - ")</f>
        <v>100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128</v>
      </c>
      <c r="AC10" s="905" t="str">
        <f>IF(ISNUMBER(IF(D_I="SI",DatosP!K18,DatosP!K18+DatosP!AE18)),IF(D_I="SI",DatosP!K18,DatosP!K18+DatosP!AE18)," - ")</f>
        <v xml:space="preserve"> - </v>
      </c>
      <c r="AD10" s="907"/>
      <c r="AE10" s="907"/>
      <c r="AF10" s="910">
        <f>IF(ISNUMBER(Datos!L10),Datos!L10,"-")</f>
        <v>117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44</v>
      </c>
      <c r="AM10" s="914">
        <f>IF(ISNUMBER(Datos!N10+DatosP!N18),Datos!N10+DatosP!N18," - ")</f>
        <v>60</v>
      </c>
      <c r="AN10" s="914">
        <f>IF(ISNUMBER(Datos!BW10+DatosP!BW18),Datos!BW10+DatosP!BW18," - ")</f>
        <v>0</v>
      </c>
      <c r="AO10" s="915">
        <f>IF(ISNUMBER(Datos!BX10+DatosP!BX18),Datos!BX10+DatosP!BX18," - ")</f>
        <v>0</v>
      </c>
      <c r="AP10" s="917">
        <f>IF(ISNUMBER(((Datos!L10/Datos!K10)*11)/factor_trimestre),((Datos!L10/Datos!K10)*11)/factor_trimestre," - ")</f>
        <v>10.0546875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86</v>
      </c>
      <c r="G14" s="1256">
        <f t="shared" si="0"/>
        <v>100</v>
      </c>
      <c r="H14" s="1256">
        <f t="shared" si="0"/>
        <v>0</v>
      </c>
      <c r="I14" s="1258">
        <f t="shared" si="0"/>
        <v>0</v>
      </c>
      <c r="J14" s="1257">
        <f t="shared" si="0"/>
        <v>0</v>
      </c>
      <c r="K14" s="1257">
        <f t="shared" si="0"/>
        <v>0</v>
      </c>
      <c r="L14" s="1259">
        <f t="shared" si="0"/>
        <v>0</v>
      </c>
      <c r="M14" s="1259">
        <f t="shared" si="0"/>
        <v>0</v>
      </c>
      <c r="N14" s="1257">
        <f t="shared" si="0"/>
        <v>31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128</v>
      </c>
      <c r="AC14" s="1257">
        <f t="shared" si="1"/>
        <v>0</v>
      </c>
      <c r="AD14" s="1257">
        <f t="shared" si="1"/>
        <v>0</v>
      </c>
      <c r="AE14" s="1257">
        <f t="shared" si="1"/>
        <v>0</v>
      </c>
      <c r="AF14" s="1257">
        <f t="shared" si="1"/>
        <v>117</v>
      </c>
      <c r="AG14" s="1257">
        <f t="shared" si="1"/>
        <v>0</v>
      </c>
      <c r="AH14" s="1257">
        <f t="shared" si="1"/>
        <v>0</v>
      </c>
      <c r="AI14" s="1257">
        <f t="shared" si="1"/>
        <v>0</v>
      </c>
      <c r="AJ14" s="1257">
        <f t="shared" si="1"/>
        <v>0</v>
      </c>
      <c r="AK14" s="1257">
        <f t="shared" si="1"/>
        <v>0</v>
      </c>
      <c r="AL14" s="1257">
        <f t="shared" si="1"/>
        <v>44</v>
      </c>
      <c r="AM14" s="1257">
        <f t="shared" si="1"/>
        <v>60</v>
      </c>
      <c r="AN14" s="1257">
        <f t="shared" si="1"/>
        <v>0</v>
      </c>
      <c r="AO14" s="1257">
        <f t="shared" si="1"/>
        <v>0</v>
      </c>
      <c r="AP14" s="1262">
        <f>IF(ISNUMBER(((Datos!L14/Datos!K14)*11)/factor_trimestre),((Datos!L14/Datos!K14)*11)/factor_trimestre," - ")</f>
        <v>8.0240652089532922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-1.4883720930232558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1.532033426183844</v>
      </c>
      <c r="AQ23" s="1262">
        <f>IF(ISNUMBER(((Datos!M23/Datos!L23)*11)/factor_trimestre),((Datos!M23/Datos!L23)*11)/factor_trimestre," - ")</f>
        <v>8.2744444444444447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-0.1411042944785276</v>
      </c>
      <c r="AW23" s="1265">
        <f>IF(ISNUMBER((Datos!Q23-Datos!R23)/(Datos!S23-Datos!Q23+Datos!R23)),(Datos!Q23-Datos!R23)/(Datos!S23-Datos!Q23+Datos!R23)," - ")</f>
        <v>0.19215686274509805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86</v>
      </c>
      <c r="G31" s="1278">
        <f t="shared" si="8"/>
        <v>100</v>
      </c>
      <c r="H31" s="1278">
        <f t="shared" si="8"/>
        <v>0</v>
      </c>
      <c r="I31" s="1279">
        <f t="shared" si="8"/>
        <v>0</v>
      </c>
      <c r="J31" s="1280">
        <f t="shared" si="8"/>
        <v>0</v>
      </c>
      <c r="K31" s="1280">
        <f t="shared" si="8"/>
        <v>0</v>
      </c>
      <c r="L31" s="1280">
        <f t="shared" si="8"/>
        <v>0</v>
      </c>
      <c r="M31" s="1280">
        <f t="shared" si="8"/>
        <v>0</v>
      </c>
      <c r="N31" s="1279">
        <f t="shared" si="8"/>
        <v>31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128</v>
      </c>
      <c r="AC31" s="1284">
        <f t="shared" si="9"/>
        <v>0</v>
      </c>
      <c r="AD31" s="1284">
        <f t="shared" si="9"/>
        <v>0</v>
      </c>
      <c r="AE31" s="1284">
        <f t="shared" si="9"/>
        <v>0</v>
      </c>
      <c r="AF31" s="1285">
        <f t="shared" si="9"/>
        <v>117</v>
      </c>
      <c r="AG31" s="1285">
        <f t="shared" si="9"/>
        <v>0</v>
      </c>
      <c r="AH31" s="1285">
        <f t="shared" si="9"/>
        <v>0</v>
      </c>
      <c r="AI31" s="1285">
        <f t="shared" si="9"/>
        <v>0</v>
      </c>
      <c r="AJ31" s="1286">
        <f t="shared" si="9"/>
        <v>0</v>
      </c>
      <c r="AK31" s="1286">
        <f t="shared" si="9"/>
        <v>0</v>
      </c>
      <c r="AL31" s="1278">
        <f t="shared" si="9"/>
        <v>44</v>
      </c>
      <c r="AM31" s="1278">
        <f t="shared" si="9"/>
        <v>60</v>
      </c>
      <c r="AN31" s="1278">
        <f t="shared" si="9"/>
        <v>0</v>
      </c>
      <c r="AO31" s="1278">
        <f t="shared" si="9"/>
        <v>0</v>
      </c>
      <c r="AP31" s="1278">
        <f>IF(ISNUMBER(((Datos!L31/Datos!K31)*11)/factor_trimestre),((Datos!L31/Datos!K31)*11)/factor_trimestre," - ")</f>
        <v>3.9615552220016466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-1.4883720930232558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-8.5083141157907508E-2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47.104139945444288</v>
      </c>
      <c r="G33" s="1007">
        <f>IF(ISNUMBER(STDEV(G8:G30)),STDEV(G8:G30),"-")</f>
        <v>54.772255750516614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70.108487360661258</v>
      </c>
      <c r="AC33" s="1008">
        <f>IF(ISNUMBER(STDEV(AC8:AC30)),STDEV(AC8:AC30),"-")</f>
        <v>0</v>
      </c>
      <c r="AD33" s="1011"/>
      <c r="AE33" s="1011"/>
      <c r="AF33" s="1011"/>
      <c r="AG33" s="1011"/>
      <c r="AH33" s="1011"/>
      <c r="AI33" s="1011"/>
      <c r="AJ33" s="1012">
        <f>IF(ISNUMBER(STDEV(AJ8:AJ30)),STDEV(AJ8:AJ30),"-")</f>
        <v>0</v>
      </c>
      <c r="AK33" s="1014"/>
      <c r="AL33" s="1006">
        <f>IF(ISNUMBER(STDEV(AL8:AL30)),STDEV(AL8:AL30),"-")</f>
        <v>24.099792530227308</v>
      </c>
      <c r="AM33" s="1006"/>
      <c r="AN33" s="1006">
        <f>IF(ISNUMBER(STDEV(AN8:AN30)),STDEV(AN8:AN30),"-")</f>
        <v>0</v>
      </c>
      <c r="AO33" s="1012">
        <f>IF(ISNUMBER(STDEV(AO8:AO30)),STDEV(AO8:AO30),"-")</f>
        <v>0</v>
      </c>
      <c r="AP33" s="1065">
        <f>IF(ISNUMBER(STDEV(AP8:AP30)),STDEV(AP8:AP30),"-")</f>
        <v>4.4516951082203793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wLb2ES5RnxiRiev2R9uqIjKWGE/kX5fdga2prIPwpuTjIdsA30Cn+EbtK9aCGmC2un9Qic9DTLEz+49rMFuxQ==" saltValue="0oeFL0c3NvDkvCMAcnXF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FUENGIROLA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8cfnxRtbuVWIYA1A4V7JJ3VHO29e3CMC/bRP4kpbcd5Ob/O6HcS4nY3bhC6hOMIhFGUSW4tHn1pQmI3XtwiA==" saltValue="961tBu4T2Gt9Eyc76NGKm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FUENGIROLA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1776</v>
      </c>
      <c r="E9" s="452">
        <f t="shared" ref="E9:E14" si="0">IF(ISNUMBER(D9/B9),D9/B9," - ")</f>
        <v>355.2</v>
      </c>
      <c r="F9" s="451">
        <f>IF(ISNUMBER(Datos!N9),Datos!N9," - ")</f>
        <v>3331</v>
      </c>
      <c r="G9" s="452">
        <f t="shared" ref="G9:G14" si="1">IF(ISNUMBER(F9/B9),F9/B9," - ")</f>
        <v>666.2</v>
      </c>
      <c r="H9" s="451">
        <f>IF(ISNUMBER(Datos!O9),Datos!O9," - ")</f>
        <v>4148</v>
      </c>
      <c r="I9" s="452">
        <f>IF(ISNUMBER(H9/B9),H9/B9," - ")</f>
        <v>829.6</v>
      </c>
    </row>
    <row r="10" spans="1:9">
      <c r="A10" s="450" t="str">
        <f>Datos!A10</f>
        <v>Jdos. Violencia contra la mujer</v>
      </c>
      <c r="B10" s="480">
        <f>Datos!AO10</f>
        <v>1</v>
      </c>
      <c r="C10" s="458">
        <f>Datos!AQ10</f>
        <v>1</v>
      </c>
      <c r="D10" s="451">
        <f>IF(ISNUMBER(Datos!M10),Datos!M10," - ")</f>
        <v>44</v>
      </c>
      <c r="E10" s="452">
        <f>IF(ISNUMBER(D10/B10),D10/B10," - ")</f>
        <v>44</v>
      </c>
      <c r="F10" s="451">
        <f>IF(ISNUMBER(Datos!N10),Datos!N10," - ")</f>
        <v>60</v>
      </c>
      <c r="G10" s="452">
        <f>IF(ISNUMBER(F10/B10),F10/B10," - ")</f>
        <v>60</v>
      </c>
      <c r="H10" s="451">
        <f>IF(ISNUMBER(Datos!O10),Datos!O10," - ")</f>
        <v>41</v>
      </c>
      <c r="I10" s="452">
        <f t="shared" ref="I10:I13" si="2">IF(ISNUMBER(H10/B10),H10/B10," - ")</f>
        <v>41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1820</v>
      </c>
      <c r="E14" s="1147">
        <f t="shared" si="0"/>
        <v>303.33333333333331</v>
      </c>
      <c r="F14" s="1146">
        <f>SUBTOTAL(9,F9:F13)</f>
        <v>3391</v>
      </c>
      <c r="G14" s="1147">
        <f t="shared" si="1"/>
        <v>565.16666666666663</v>
      </c>
      <c r="H14" s="1146">
        <f>SUBTOTAL(9,H9:H13)</f>
        <v>4189</v>
      </c>
      <c r="I14" s="1147">
        <f>IF(ISNUMBER(H14/B14),H14/B14," - ")</f>
        <v>698.16666666666663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1263</v>
      </c>
      <c r="E16" s="452">
        <f t="shared" ref="E16:E23" si="3">IF(ISNUMBER(D16/B16),D16/B16," - ")</f>
        <v>315.75</v>
      </c>
      <c r="F16" s="451">
        <f>IF(ISNUMBER(Datos!N16),Datos!N16," - ")</f>
        <v>7589</v>
      </c>
      <c r="G16" s="452">
        <f t="shared" ref="G16:G23" si="4">IF(ISNUMBER(F16/B16),F16/B16," - ")</f>
        <v>1897.25</v>
      </c>
      <c r="H16" s="451">
        <f>IF(ISNUMBER(Datos!O16),Datos!O16," - ")</f>
        <v>491</v>
      </c>
      <c r="I16" s="452">
        <f t="shared" ref="I16:I22" si="5">IF(ISNUMBER(H16/B16),H16/B16," - ")</f>
        <v>122.75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91</v>
      </c>
      <c r="E18" s="452">
        <f>IF(ISNUMBER(D18/B18),D18/B18," - ")</f>
        <v>91</v>
      </c>
      <c r="F18" s="451">
        <f>IF(ISNUMBER(Datos!N18),Datos!N18," - ")</f>
        <v>572</v>
      </c>
      <c r="G18" s="452">
        <f>IF(ISNUMBER(F18/B18),F18/B18," - ")</f>
        <v>572</v>
      </c>
      <c r="H18" s="451">
        <f>IF(ISNUMBER(Datos!O18),Datos!O18," - ")</f>
        <v>5</v>
      </c>
      <c r="I18" s="452">
        <f t="shared" si="5"/>
        <v>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1354</v>
      </c>
      <c r="E23" s="1147">
        <f t="shared" si="3"/>
        <v>270.8</v>
      </c>
      <c r="F23" s="1146">
        <f>SUBTOTAL(9,F16:F22)</f>
        <v>8161</v>
      </c>
      <c r="G23" s="1147">
        <f t="shared" si="4"/>
        <v>1632.2</v>
      </c>
      <c r="H23" s="1146">
        <f>SUBTOTAL(9,H16:H22)</f>
        <v>496</v>
      </c>
      <c r="I23" s="1147">
        <f>IF(ISNUMBER(H23/B23),H23/B23," - ")</f>
        <v>99.2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3174</v>
      </c>
      <c r="E31" s="1085">
        <f>IF(ISNUMBER(D31/B31),D31/B31," - ")</f>
        <v>317.39999999999998</v>
      </c>
      <c r="F31" s="1084">
        <f>SUBTOTAL(9,F8:F30)</f>
        <v>11552</v>
      </c>
      <c r="G31" s="1085">
        <f>IF(ISNUMBER(F31/B31),F31/B31," - ")</f>
        <v>1155.2</v>
      </c>
      <c r="H31" s="1084">
        <f>SUBTOTAL(9,H8:H30)</f>
        <v>4685</v>
      </c>
      <c r="I31" s="1085">
        <f>IF(ISNUMBER(H31/B31),H31/B31," - ")</f>
        <v>468.5</v>
      </c>
    </row>
    <row r="34" spans="1:1">
      <c r="A34" s="439" t="str">
        <f>Criterios!A4</f>
        <v>Fecha Informe: 06 may. 2023</v>
      </c>
    </row>
    <row r="39" spans="1:1">
      <c r="A39" s="462"/>
    </row>
  </sheetData>
  <sheetProtection algorithmName="SHA-512" hashValue="T7/uLo5449xHx5Q2nvP2kw2jxYknvSEMKzwLa0U38s1UAAQuJwLzCE749VAbuJ4YsrpbqvZqCNXI6ryJzr7ROg==" saltValue="VwCCQXxToMY5IaCQ4/fT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FUENGIROLA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2118</v>
      </c>
      <c r="C9" s="489">
        <f>IF(ISNUMBER(Datos!Q9),Datos!Q9," - ")</f>
        <v>2784</v>
      </c>
      <c r="D9" s="456">
        <f>IF(ISNUMBER(Datos!R9),Datos!R9," - ")</f>
        <v>7181</v>
      </c>
    </row>
    <row r="10" spans="1:4">
      <c r="A10" s="450" t="str">
        <f>Datos!A10</f>
        <v>Jdos. Violencia contra la mujer</v>
      </c>
      <c r="B10" s="488">
        <f>IF(ISNUMBER(Datos!P10),Datos!P10," - ")</f>
        <v>31</v>
      </c>
      <c r="C10" s="489">
        <f>IF(ISNUMBER(Datos!Q10),Datos!Q10," - ")</f>
        <v>20</v>
      </c>
      <c r="D10" s="456">
        <f>IF(ISNUMBER(Datos!R10),Datos!R10," - ")</f>
        <v>77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2149</v>
      </c>
      <c r="C14" s="1150">
        <f>SUBTOTAL(9,C9:C13)</f>
        <v>2804</v>
      </c>
      <c r="D14" s="1148">
        <f>SUBTOTAL(9,D9:D13)</f>
        <v>7258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468</v>
      </c>
      <c r="C16" s="489">
        <f>IF(ISNUMBER(Datos!Q16),Datos!Q16," - ")</f>
        <v>508</v>
      </c>
      <c r="D16" s="456">
        <f>IF(ISNUMBER(Datos!R16),Datos!R16," - ")</f>
        <v>278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11</v>
      </c>
      <c r="C18" s="489">
        <f>IF(ISNUMBER(Datos!Q18),Datos!Q18," - ")</f>
        <v>17</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479</v>
      </c>
      <c r="C23" s="1150">
        <f>SUBTOTAL(9,C16:C22)</f>
        <v>525</v>
      </c>
      <c r="D23" s="1148">
        <f>SUBTOTAL(9,D16:D22)</f>
        <v>280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2628</v>
      </c>
      <c r="C31" s="1089">
        <f>SUBTOTAL(9,C8:C30)</f>
        <v>3329</v>
      </c>
      <c r="D31" s="1090">
        <f>SUBTOTAL(9,D8:D30)</f>
        <v>7538</v>
      </c>
    </row>
    <row r="32" spans="1:4" ht="7.5" customHeight="1"/>
    <row r="33" spans="1:1" ht="6" customHeight="1"/>
    <row r="34" spans="1:1">
      <c r="A34" s="439" t="str">
        <f>Criterios!A4</f>
        <v>Fecha Informe: 06 may. 2023</v>
      </c>
    </row>
    <row r="39" spans="1:1">
      <c r="A39" s="462"/>
    </row>
  </sheetData>
  <sheetProtection algorithmName="SHA-512" hashValue="1i74OqcjD3XzBbCWMs7HWXTysJQvEDCq0BLmqeipNVCl1amWTp7M+rN5SrSH/JQamoason/PKzsvU/4In7n1jw==" saltValue="OiW8rnIqSnOMGNslWa4Z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FUENGIROLA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-0.12176118862112702</v>
      </c>
      <c r="C9" s="515">
        <f>IF(ISNUMBER(
   IF(J_V="SI",(Datos!J9-Datos!T9)/Datos!T9,(Datos!J9+Datos!Z9-(Datos!T9+Datos!AH9))/(Datos!T9+Datos!AH9))
     ),IF(J_V="SI",(Datos!J9-Datos!T9)/Datos!T9,(Datos!J9+Datos!Z9-(Datos!T9+Datos!AH9))/(Datos!T9+Datos!AH9))," - ")</f>
        <v>2.9383545214679778E-2</v>
      </c>
      <c r="D9" s="515">
        <f>IF(ISNUMBER(
   IF(J_V="SI",(Datos!K9-Datos!U9)/Datos!U9,(Datos!K9+Datos!AA9-(Datos!U9+Datos!AI9))/(Datos!U9+Datos!AI9))
     ),IF(J_V="SI",(Datos!K9-Datos!U9)/Datos!U9,(Datos!K9+Datos!AA9-(Datos!U9+Datos!AI9))/(Datos!U9+Datos!AI9))," - ")</f>
        <v>-0.11204542972589276</v>
      </c>
      <c r="E9" s="515">
        <f>IF(ISNUMBER(
   IF(J_V="SI",(Datos!L9-Datos!V9)/Datos!V9,(Datos!L9+Datos!AB9-(Datos!V9+Datos!AJ9))/(Datos!V9+Datos!AJ9))
     ),IF(J_V="SI",(Datos!L9-Datos!V9)/Datos!V9,(Datos!L9+Datos!AB9-(Datos!V9+Datos!AJ9))/(Datos!V9+Datos!AJ9))," - ")</f>
        <v>0.15576645347637713</v>
      </c>
      <c r="F9" s="515">
        <f>IF(ISNUMBER((Datos!M9-Datos!W9)/Datos!W9),(Datos!M9-Datos!W9)/Datos!W9," - ")</f>
        <v>-0.10348308934881373</v>
      </c>
      <c r="G9" s="516">
        <f>IF(ISNUMBER((Datos!N9-Datos!X9)/Datos!X9),(Datos!N9-Datos!X9)/Datos!X9," - ")</f>
        <v>-0.10649141630901288</v>
      </c>
      <c r="H9" s="514">
        <f>IF(ISNUMBER(((NºAsuntos!G9/NºAsuntos!E9)-Datos!BD9)/Datos!BD9),((NºAsuntos!G9/NºAsuntos!E9)-Datos!BD9)/Datos!BD9," - ")</f>
        <v>-0.13739191343988047</v>
      </c>
      <c r="I9" s="515">
        <f>IF(ISNUMBER(((NºAsuntos!I9/NºAsuntos!G9)-Datos!BE9)/Datos!BE9),((NºAsuntos!I9/NºAsuntos!G9)-Datos!BE9)/Datos!BE9," - ")</f>
        <v>0.30160538857252311</v>
      </c>
      <c r="J9" s="521">
        <f>IF(ISNUMBER((('Resol  Asuntos'!D9/NºAsuntos!G9)-Datos!BF9)/Datos!BF9),(('Resol  Asuntos'!D9/NºAsuntos!G9)-Datos!BF9)/Datos!BF9," - ")</f>
        <v>-0.4634918657625165</v>
      </c>
      <c r="K9" s="522">
        <f>IF(ISNUMBER((((NºAsuntos!C9+NºAsuntos!E9)/NºAsuntos!G9)-Datos!BG9)/Datos!BG9),(((NºAsuntos!C9+NºAsuntos!E9)/NºAsuntos!G9)-Datos!BG9)/Datos!BG9," - ")</f>
        <v>9.1480670045185522E-2</v>
      </c>
    </row>
    <row r="10" spans="1:11">
      <c r="A10" s="450" t="str">
        <f>Datos!A10</f>
        <v>Jdos. Violencia contra la mujer</v>
      </c>
      <c r="B10" s="514">
        <f>IF(ISNUMBER((Datos!I10-Datos!S10)/Datos!S10),(Datos!I10-Datos!S10)/Datos!S10," - ")</f>
        <v>0.42857142857142855</v>
      </c>
      <c r="C10" s="515">
        <f>IF(ISNUMBER((Datos!J10-Datos!T10)/Datos!T10),(Datos!J10-Datos!T10)/Datos!T10," - ")</f>
        <v>0.06</v>
      </c>
      <c r="D10" s="515">
        <f>IF(ISNUMBER((Datos!K10-Datos!U10)/Datos!U10),(Datos!K10-Datos!U10)/Datos!U10," - ")</f>
        <v>6.6666666666666666E-2</v>
      </c>
      <c r="E10" s="515">
        <f>IF(ISNUMBER((Datos!L10-Datos!V10)/Datos!V10),(Datos!L10-Datos!V10)/Datos!V10," - ")</f>
        <v>0.17</v>
      </c>
      <c r="F10" s="515">
        <f>IF(ISNUMBER((Datos!M10-Datos!W10)/Datos!W10),(Datos!M10-Datos!W10)/Datos!W10," - ")</f>
        <v>7.3170731707317069E-2</v>
      </c>
      <c r="G10" s="516">
        <f>IF(ISNUMBER((Datos!N10-Datos!X10)/Datos!X10),(Datos!N10-Datos!X10)/Datos!X10," - ")</f>
        <v>0.30434782608695654</v>
      </c>
      <c r="H10" s="514">
        <f>IF(ISNUMBER(((NºAsuntos!G10/NºAsuntos!E10)-Datos!BD10)/Datos!BD10),((NºAsuntos!G10/NºAsuntos!E10)-Datos!BD10)/Datos!BD10," - ")</f>
        <v>6.2893081761006275E-3</v>
      </c>
      <c r="I10" s="515">
        <f>IF(ISNUMBER(((NºAsuntos!I10/NºAsuntos!G10)-Datos!BE10)/Datos!BE10),((NºAsuntos!I10/NºAsuntos!G10)-Datos!BE10)/Datos!BE10," - ")</f>
        <v>9.6874999999999947E-2</v>
      </c>
      <c r="J10" s="521">
        <f>IF(ISNUMBER((('Resol  Asuntos'!D10/NºAsuntos!G10)-Datos!BF10)/Datos!BF10),(('Resol  Asuntos'!D10/NºAsuntos!G10)-Datos!BF10)/Datos!BF10," - ")</f>
        <v>6.0975609756097346E-3</v>
      </c>
      <c r="K10" s="522">
        <f>IF(ISNUMBER((((NºAsuntos!C10+NºAsuntos!E10)/NºAsuntos!G10)-Datos!BG10)/Datos!BG10),(((NºAsuntos!C10+NºAsuntos!E10)/NºAsuntos!G10)-Datos!BG10)/Datos!BG10," - ")</f>
        <v>0.10369318181818186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-0.11486849168008588</v>
      </c>
      <c r="C14" s="1152">
        <f>IF(ISNUMBER(
   IF(J_V="SI",(Datos!J14-Datos!T14)/Datos!T14,(Datos!J14+Datos!Z14-(Datos!T14+Datos!AH14))/(Datos!T14+Datos!AH14))
     ),IF(J_V="SI",(Datos!J14-Datos!T14)/Datos!T14,(Datos!J14+Datos!Z14-(Datos!T14+Datos!AH14))/(Datos!T14+Datos!AH14))," - ")</f>
        <v>2.9924599434495758E-2</v>
      </c>
      <c r="D14" s="1152">
        <f>IF(ISNUMBER(
   IF(J_V="SI",(Datos!K14-Datos!U14)/Datos!U14,(Datos!K14+Datos!AA14-(Datos!U14+Datos!AI14))/(Datos!U14+Datos!AI14))
     ),IF(J_V="SI",(Datos!K14-Datos!U14)/Datos!U14,(Datos!K14+Datos!AA14-(Datos!U14+Datos!AI14))/(Datos!U14+Datos!AI14))," - ")</f>
        <v>-0.10973375013474183</v>
      </c>
      <c r="E14" s="1152">
        <f>IF(ISNUMBER(
   IF(J_V="SI",(Datos!L14-Datos!V14)/Datos!V14,(Datos!L14+Datos!AB14-(Datos!V14+Datos!AJ14))/(Datos!V14+Datos!AJ14))
     ),IF(J_V="SI",(Datos!L14-Datos!V14)/Datos!V14,(Datos!L14+Datos!AB14-(Datos!V14+Datos!AJ14))/(Datos!V14+Datos!AJ14))," - ")</f>
        <v>0.1560541742470184</v>
      </c>
      <c r="F14" s="1153">
        <f>IF(ISNUMBER((Datos!M14-Datos!W14)/Datos!W14),(Datos!M14-Datos!W14)/Datos!W14," - ")</f>
        <v>-9.9901088031651833E-2</v>
      </c>
      <c r="G14" s="1154">
        <f>IF(ISNUMBER((Datos!N14-Datos!X14)/Datos!X14),(Datos!N14-Datos!X14)/Datos!X14," - ")</f>
        <v>-0.10148383677795443</v>
      </c>
      <c r="H14" s="1154">
        <f>IF(ISNUMBER(((NºAsuntos!G14/NºAsuntos!E14)-Datos!BD14)/Datos!BD14),((NºAsuntos!G14/NºAsuntos!E14)-Datos!BD14)/Datos!BD14," - ")</f>
        <v>-0.13560055721158645</v>
      </c>
      <c r="I14" s="1154">
        <f>IF(ISNUMBER(((NºAsuntos!I14/NºAsuntos!G14)-Datos!BE14)/Datos!BE14),((NºAsuntos!I14/NºAsuntos!G14)-Datos!BE14)/Datos!BE14," - ")</f>
        <v>0.29854880427286457</v>
      </c>
      <c r="J14" s="1154">
        <f>IF(ISNUMBER((('Resol  Asuntos'!D14/NºAsuntos!G14)-Datos!BF14)/Datos!BF14),(('Resol  Asuntos'!D14/NºAsuntos!G14)-Datos!BF14)/Datos!BF14," - ")</f>
        <v>-0.45759293085353453</v>
      </c>
      <c r="K14" s="1154">
        <f>IF(ISNUMBER((((NºAsuntos!C14+NºAsuntos!E14)/NºAsuntos!G14)-Datos!BG14)/Datos!BG14),(((NºAsuntos!C14+NºAsuntos!E14)/NºAsuntos!G14)-Datos!BG14)/Datos!BG14," - ")</f>
        <v>9.2299420800149468E-2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-6.1256961018297536E-2</v>
      </c>
      <c r="C16" s="515">
        <f>IF(ISNUMBER(
   IF(D_I="SI",(Datos!J16-Datos!T16)/Datos!T16,(Datos!J16+Datos!AD16-(Datos!T16+Datos!AL16))/(Datos!T16+Datos!AL16))
     ),IF(D_I="SI",(Datos!J16-Datos!T16)/Datos!T16,(Datos!J16+Datos!AD16-(Datos!T16+Datos!AL16))/(Datos!T16+Datos!AL16))," - ")</f>
        <v>0.10052231283789975</v>
      </c>
      <c r="D16" s="515">
        <f>IF(ISNUMBER(
   IF(D_I="SI",(Datos!K16-Datos!U16)/Datos!U16,(Datos!K16+Datos!AE16-(Datos!U16+Datos!AM16))/(Datos!U16+Datos!AM16))
     ),IF(D_I="SI",(Datos!K16-Datos!U16)/Datos!U16,(Datos!K16+Datos!AE16-(Datos!U16+Datos!AM16))/(Datos!U16+Datos!AM16))," - ")</f>
        <v>6.3951411218292245E-2</v>
      </c>
      <c r="E16" s="515">
        <f>IF(ISNUMBER(
   IF(D_I="SI",(Datos!L16-Datos!V16)/Datos!V16,(Datos!L16+Datos!AF16-(Datos!V16+Datos!AN16))/(Datos!V16+Datos!AN16))
     ),IF(D_I="SI",(Datos!L16-Datos!V16)/Datos!V16,(Datos!L16+Datos!AF16-(Datos!V16+Datos!AN16))/(Datos!V16+Datos!AN16))," - ")</f>
        <v>0.27033898305084747</v>
      </c>
      <c r="F16" s="515">
        <f>IF(ISNUMBER((Datos!M16-Datos!W16)/Datos!W16),(Datos!M16-Datos!W16)/Datos!W16," - ")</f>
        <v>-1.4820592823712949E-2</v>
      </c>
      <c r="G16" s="516">
        <f>IF(ISNUMBER((Datos!N16-Datos!X16)/Datos!X16),(Datos!N16-Datos!X16)/Datos!X16," - ")</f>
        <v>0.10305232558139535</v>
      </c>
      <c r="H16" s="514">
        <f>IF(ISNUMBER(((NºAsuntos!G16/NºAsuntos!E16)-Datos!BD16)/Datos!BD16),((NºAsuntos!G16/NºAsuntos!E16)-Datos!BD16)/Datos!BD16," - ")</f>
        <v>-3.323049536842422E-2</v>
      </c>
      <c r="I16" s="515">
        <f>IF(ISNUMBER(((NºAsuntos!I16/NºAsuntos!G16)-Datos!BE16)/Datos!BE16),((NºAsuntos!I16/NºAsuntos!G16)-Datos!BE16)/Datos!BE16," - ")</f>
        <v>0.1939821402146818</v>
      </c>
      <c r="J16" s="521">
        <f>IF(ISNUMBER((('Resol  Asuntos'!D16/NºAsuntos!G16)-Datos!BF16)/Datos!BF16),(('Resol  Asuntos'!D16/NºAsuntos!G16)-Datos!BF16)/Datos!BF16," - ")</f>
        <v>-7.4037219379977356E-2</v>
      </c>
      <c r="K16" s="522">
        <f>IF(ISNUMBER((((NºAsuntos!C16+NºAsuntos!E16)/NºAsuntos!G16)-Datos!BG16)/Datos!BG16),(((NºAsuntos!C16+NºAsuntos!E16)/NºAsuntos!G16)-Datos!BG16)/Datos!BG16," - ")</f>
        <v>1.8667434094893742E-2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-6.8441064638783272E-2</v>
      </c>
      <c r="C18" s="515">
        <f>IF(ISNUMBER(
   IF(D_I="SI",(Datos!J18-Datos!T18)/Datos!T18,(Datos!J18+Datos!AD18-(Datos!T18+Datos!AL18))/(Datos!T18+Datos!AL18))
     ),IF(D_I="SI",(Datos!J18-Datos!T18)/Datos!T18,(Datos!J18+Datos!AD18-(Datos!T18+Datos!AL18))/(Datos!T18+Datos!AL18))," - ")</f>
        <v>7.7235772357723581E-2</v>
      </c>
      <c r="D18" s="515">
        <f>IF(ISNUMBER(
   IF(D_I="SI",(Datos!K18-Datos!U18)/Datos!U18,(Datos!K18+Datos!AE18-(Datos!U18+Datos!AM18))/(Datos!U18+Datos!AM18))
     ),IF(D_I="SI",(Datos!K18-Datos!U18)/Datos!U18,(Datos!K18+Datos!AE18-(Datos!U18+Datos!AM18))/(Datos!U18+Datos!AM18))," - ")</f>
        <v>9.8911968348170125E-4</v>
      </c>
      <c r="E18" s="515">
        <f>IF(ISNUMBER(
   IF(D_I="SI",(Datos!L18-Datos!V18)/Datos!V18,(Datos!L18+Datos!AF18-(Datos!V18+Datos!AN18))/(Datos!V18+Datos!AN18))
     ),IF(D_I="SI",(Datos!L18-Datos!V18)/Datos!V18,(Datos!L18+Datos!AF18-(Datos!V18+Datos!AN18))/(Datos!V18+Datos!AN18))," - ")</f>
        <v>0.22857142857142856</v>
      </c>
      <c r="F18" s="515">
        <f>IF(ISNUMBER((Datos!M18-Datos!W18)/Datos!W18),(Datos!M18-Datos!W18)/Datos!W18," - ")</f>
        <v>-0.20175438596491227</v>
      </c>
      <c r="G18" s="516">
        <f>IF(ISNUMBER((Datos!N18-Datos!X18)/Datos!X18),(Datos!N18-Datos!X18)/Datos!X18," - ")</f>
        <v>0.14171656686626746</v>
      </c>
      <c r="H18" s="514">
        <f>IF(ISNUMBER(((NºAsuntos!G18/NºAsuntos!E18)-Datos!BD18)/Datos!BD18),((NºAsuntos!G18/NºAsuntos!E18)-Datos!BD18)/Datos!BD18," - ")</f>
        <v>-7.0779911539107468E-2</v>
      </c>
      <c r="I18" s="515">
        <f>IF(ISNUMBER(((NºAsuntos!I18/NºAsuntos!G18)-Datos!BE18)/Datos!BE18),((NºAsuntos!I18/NºAsuntos!G18)-Datos!BE18)/Datos!BE18," - ")</f>
        <v>0.22735742518351218</v>
      </c>
      <c r="J18" s="521">
        <f>IF(ISNUMBER((('Resol  Asuntos'!D18/NºAsuntos!G18)-Datos!BF18)/Datos!BF18),(('Resol  Asuntos'!D18/NºAsuntos!G18)-Datos!BF18)/Datos!BF18," - ")</f>
        <v>-0.2025431662159351</v>
      </c>
      <c r="K18" s="522">
        <f>IF(ISNUMBER((((NºAsuntos!C18+NºAsuntos!E18)/NºAsuntos!G18)-Datos!BG18)/Datos!BG18),(((NºAsuntos!C18+NºAsuntos!E18)/NºAsuntos!G18)-Datos!BG18)/Datos!BG18," - ")</f>
        <v>4.5477525507859183E-2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-6.25E-2</v>
      </c>
      <c r="C23" s="1152">
        <f>IF(ISNUMBER(
   IF(Criterios!B14="SI",(Datos!J23-Datos!T23)/Datos!T23,(Datos!J23+Datos!AD23-(Datos!T23+Datos!AL23))/(Datos!T23+Datos!AL23))
     ),IF(Criterios!B14="SI",(Datos!J23-Datos!T23)/Datos!T23,(Datos!J23+Datos!AD23-(Datos!T23+Datos!AL23))/(Datos!T23+Datos!AL23))," - ")</f>
        <v>9.8596284777675042E-2</v>
      </c>
      <c r="D23" s="1152">
        <f>IF(ISNUMBER(
   IF(Criterios!B14="SI",(Datos!K23-Datos!U23)/Datos!U23,(Datos!K23+Datos!AE23-(Datos!U23+Datos!AM23))/(Datos!U23+Datos!AM23))
     ),IF(Criterios!B14="SI",(Datos!K23-Datos!U23)/Datos!U23,(Datos!K23+Datos!AE23-(Datos!U23+Datos!AM23))/(Datos!U23+Datos!AM23))," - ")</f>
        <v>5.8736790366183338E-2</v>
      </c>
      <c r="E23" s="1152">
        <f>IF(ISNUMBER(
   IF(Criterios!B14="SI",(Datos!L23-Datos!V23)/Datos!V23,(Datos!L23+Datos!AF23-(Datos!V23+Datos!AN23))/(Datos!V23+Datos!AN23))
     ),IF(Criterios!B14="SI",(Datos!L23-Datos!V23)/Datos!V23,(Datos!L23+Datos!AF23-(Datos!V23+Datos!AN23))/(Datos!V23+Datos!AN23))," - ")</f>
        <v>0.26315789473684209</v>
      </c>
      <c r="F23" s="1153">
        <f>IF(ISNUMBER((Datos!M23-Datos!W23)/Datos!W23),(Datos!M23-Datos!W23)/Datos!W23," - ")</f>
        <v>-3.0085959885386818E-2</v>
      </c>
      <c r="G23" s="1154">
        <f>IF(ISNUMBER((Datos!N23-Datos!X23)/Datos!X23),(Datos!N23-Datos!X23)/Datos!X23," - ")</f>
        <v>0.10567673756943503</v>
      </c>
      <c r="H23" s="1154">
        <f>IF(ISNUMBER(((NºAsuntos!G23/NºAsuntos!E23)-Datos!BD23)/Datos!BD23),((NºAsuntos!G23/NºAsuntos!E23)-Datos!BD23)/Datos!BD23," - ")</f>
        <v>-3.6282203903099948E-2</v>
      </c>
      <c r="I23" s="1154">
        <f>IF(ISNUMBER(((NºAsuntos!I23/NºAsuntos!G23)-Datos!BE23)/Datos!BE23),((NºAsuntos!I23/NºAsuntos!G23)-Datos!BE23)/Datos!BE23," - ")</f>
        <v>0.19308019352001171</v>
      </c>
      <c r="J23" s="1154">
        <f>IF(ISNUMBER((('Resol  Asuntos'!D23/NºAsuntos!G23)-Datos!BF23)/Datos!BF23),(('Resol  Asuntos'!D23/NºAsuntos!G23)-Datos!BF23)/Datos!BF23," - ")</f>
        <v>-8.3895025713472376E-2</v>
      </c>
      <c r="K23" s="1154">
        <f>IF(ISNUMBER((((NºAsuntos!C23+NºAsuntos!E23)/NºAsuntos!G23)-Datos!BG23)/Datos!BG23),(((NºAsuntos!C23+NºAsuntos!E23)/NºAsuntos!G23)-Datos!BG23)/Datos!BG23," - ")</f>
        <v>2.041020936243439E-2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-0.10367140244760163</v>
      </c>
      <c r="C31" s="1092">
        <f>IF(ISNUMBER(
   IF(J_V="SI",(Datos!J31-Datos!T31)/Datos!T31,(Datos!J31+Datos!Z31-(Datos!T31+Datos!AH31))/(Datos!T31+Datos!AH31))
     ),IF(J_V="SI",(Datos!J31-Datos!T31)/Datos!T31,(Datos!J31+Datos!Z31-(Datos!T31+Datos!AH31))/(Datos!T31+Datos!AH31))," - ")</f>
        <v>7.0002452783909735E-2</v>
      </c>
      <c r="D31" s="1092">
        <f>IF(ISNUMBER(
   IF(J_V="SI",(Datos!K31-Datos!U31)/Datos!U31,(Datos!K31+Datos!AA31-(Datos!U31+Datos!AI31))/(Datos!U31+Datos!AI31))
     ),IF(J_V="SI",(Datos!K31-Datos!U31)/Datos!U31,(Datos!K31+Datos!AA31-(Datos!U31+Datos!AI31))/(Datos!U31+Datos!AI31))," - ")</f>
        <v>-1.4010426363805622E-2</v>
      </c>
      <c r="E31" s="1092">
        <f>IF(ISNUMBER(
   IF(J_V="SI",(Datos!L31-Datos!V31)/Datos!V31,(Datos!L31+Datos!AB31-(Datos!V31+Datos!AJ31))/(Datos!V31+Datos!AJ31))
     ),IF(J_V="SI",(Datos!L31-Datos!V31)/Datos!V31,(Datos!L31+Datos!AB31-(Datos!V31+Datos!AJ31))/(Datos!V31+Datos!AJ31))," - ")</f>
        <v>0.18000627746390457</v>
      </c>
      <c r="F31" s="1093">
        <f>IF(ISNUMBER((Datos!M31-Datos!W31)/Datos!W31),(Datos!M31-Datos!W31)/Datos!W31," - ")</f>
        <v>-7.1386775892334692E-2</v>
      </c>
      <c r="G31" s="1094">
        <f>IF(ISNUMBER((Datos!N31-Datos!X31)/Datos!X31),(Datos!N31-Datos!X31)/Datos!X31," - ")</f>
        <v>3.5589421783953384E-2</v>
      </c>
      <c r="H31" s="1095">
        <f>IF(ISNUMBER((Tasas!B31-Datos!BD31)/Datos!BD31),(Tasas!B31-Datos!BD31)/Datos!BD31," - ")</f>
        <v>-7.8516529498724424E-2</v>
      </c>
      <c r="I31" s="1096">
        <f>IF(ISNUMBER((Tasas!C31-Datos!BE31)/Datos!BE31),(Tasas!C31-Datos!BE31)/Datos!BE31," - ")</f>
        <v>0.1967735856599408</v>
      </c>
      <c r="J31" s="1097">
        <f>IF(ISNUMBER((Tasas!D31-Datos!BF31)/Datos!BF31),(Tasas!D31-Datos!BF31)/Datos!BF31," - ")</f>
        <v>-0.3767471486546568</v>
      </c>
      <c r="K31" s="1097">
        <f>IF(ISNUMBER((Tasas!E31-Datos!BG31)/Datos!BG31),(Tasas!E31-Datos!BG31)/Datos!BG31," - ")</f>
        <v>3.9662499559026974E-2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y2A6FgTEgoAjQYEGqz6l0ebzuSiflXW0qi5nF+bChEpFvGj76toOCQ1QwqFySKbq1XUckBS1x7uO0NgxUnOOQ==" saltValue="yTqVSW7YVU/smw+63Mkya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FUENGIROLA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0.94733776068973552</v>
      </c>
      <c r="C9" s="498">
        <f>IF(ISNUMBER(NºAsuntos!I9/NºAsuntos!G9),NºAsuntos!I9/NºAsuntos!G9," - ")</f>
        <v>0.68896814659943428</v>
      </c>
      <c r="D9" s="499">
        <f>IF(ISNUMBER('Resol  Asuntos'!D9/NºAsuntos!G9),'Resol  Asuntos'!D9/NºAsuntos!G9," - ")</f>
        <v>0.21842331816504734</v>
      </c>
      <c r="E9" s="500">
        <f>IF(ISNUMBER((NºAsuntos!C9+NºAsuntos!E9)/NºAsuntos!G9),(NºAsuntos!C9+NºAsuntos!E9)/NºAsuntos!G9," - ")</f>
        <v>1.6517033575206002</v>
      </c>
      <c r="G9" s="523"/>
    </row>
    <row r="10" spans="1:7">
      <c r="A10" s="450" t="str">
        <f>Datos!A10</f>
        <v>Jdos. Violencia contra la mujer</v>
      </c>
      <c r="B10" s="497">
        <f>IF(ISNUMBER(NºAsuntos!G10/NºAsuntos!E10),NºAsuntos!G10/NºAsuntos!E10," - ")</f>
        <v>0.80503144654088055</v>
      </c>
      <c r="C10" s="498">
        <f>IF(ISNUMBER(NºAsuntos!I10/NºAsuntos!G10),NºAsuntos!I10/NºAsuntos!G10," - ")</f>
        <v>0.9140625</v>
      </c>
      <c r="D10" s="499">
        <f>IF(ISNUMBER('Resol  Asuntos'!D10/NºAsuntos!G10),'Resol  Asuntos'!D10/NºAsuntos!G10," - ")</f>
        <v>0.34375</v>
      </c>
      <c r="E10" s="500">
        <f>IF(ISNUMBER((NºAsuntos!C10+NºAsuntos!E10)/NºAsuntos!G10),(NºAsuntos!C10+NºAsuntos!E10)/NºAsuntos!G10," - ")</f>
        <v>2.0234375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0.94474948524365132</v>
      </c>
      <c r="C14" s="1156">
        <f>IF(ISNUMBER(NºAsuntos!I14/NºAsuntos!G14),NºAsuntos!I14/NºAsuntos!G14," - ")</f>
        <v>0.69245671388787988</v>
      </c>
      <c r="D14" s="1157">
        <f>IF(ISNUMBER('Resol  Asuntos'!D14/NºAsuntos!G14),'Resol  Asuntos'!D14/NºAsuntos!G14," - ")</f>
        <v>0.22036566170238528</v>
      </c>
      <c r="E14" s="1158">
        <f>IF(ISNUMBER((NºAsuntos!C14+NºAsuntos!E14)/NºAsuntos!G14),(NºAsuntos!C14+NºAsuntos!E14)/NºAsuntos!G14," - ")</f>
        <v>1.6574645840900835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0.99184013322231479</v>
      </c>
      <c r="C16" s="498">
        <f>IF(ISNUMBER(NºAsuntos!I16/NºAsuntos!G16),NºAsuntos!I16/NºAsuntos!G16," - ")</f>
        <v>0.12583948959032909</v>
      </c>
      <c r="D16" s="499">
        <f>IF(ISNUMBER('Resol  Asuntos'!D16/NºAsuntos!G16),'Resol  Asuntos'!D16/NºAsuntos!G16," - ")</f>
        <v>0.10602753525856279</v>
      </c>
      <c r="E16" s="500">
        <f>IF(ISNUMBER((NºAsuntos!C16+NºAsuntos!E16)/NºAsuntos!G16),(NºAsuntos!C16+NºAsuntos!E16)/NºAsuntos!G16," - ")</f>
        <v>1.1072867696440565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0.95471698113207548</v>
      </c>
      <c r="C18" s="498">
        <f>IF(ISNUMBER(NºAsuntos!I18/NºAsuntos!G18),NºAsuntos!I18/NºAsuntos!G18," - ")</f>
        <v>0.2974308300395257</v>
      </c>
      <c r="D18" s="499">
        <f>IF(ISNUMBER('Resol  Asuntos'!D18/NºAsuntos!G18),'Resol  Asuntos'!D18/NºAsuntos!G18," - ")</f>
        <v>8.9920948616600785E-2</v>
      </c>
      <c r="E18" s="500">
        <f>IF(ISNUMBER((NºAsuntos!C18+NºAsuntos!E18)/NºAsuntos!G18),(NºAsuntos!C18+NºAsuntos!E18)/NºAsuntos!G18," - ")</f>
        <v>1.2895256916996047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0.98882938026013767</v>
      </c>
      <c r="C23" s="1156">
        <f>IF(ISNUMBER(NºAsuntos!I23/NºAsuntos!G23),NºAsuntos!I23/NºAsuntos!G23," - ")</f>
        <v>0.1392757660167131</v>
      </c>
      <c r="D23" s="1159">
        <f>IF(ISNUMBER('Resol  Asuntos'!D23/NºAsuntos!G23),'Resol  Asuntos'!D23/NºAsuntos!G23," - ")</f>
        <v>0.10476632621479418</v>
      </c>
      <c r="E23" s="1158">
        <f>IF(ISNUMBER((NºAsuntos!C23+NºAsuntos!E23)/NºAsuntos!G23),(NºAsuntos!C23+NºAsuntos!E23)/NºAsuntos!G23," - ")</f>
        <v>1.1215567935623645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0.97116266275444707</v>
      </c>
      <c r="C31" s="1099">
        <f>IF(ISNUMBER(NºAsuntos!I31/NºAsuntos!G31),NºAsuntos!I31/NºAsuntos!G31," - ")</f>
        <v>0.35495444460180331</v>
      </c>
      <c r="D31" s="1100">
        <f>IF(ISNUMBER('Resol  Asuntos'!D31/NºAsuntos!G31),'Resol  Asuntos'!D31/NºAsuntos!G31," - ")</f>
        <v>0.14983713355048861</v>
      </c>
      <c r="E31" s="1101">
        <f>IF(ISNUMBER((NºAsuntos!C31+NºAsuntos!E31)/NºAsuntos!G31),(NºAsuntos!C31+NºAsuntos!E31)/NºAsuntos!G31," - ")</f>
        <v>1.3305008733418306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uy/FUPPfcXoIp8ZpmUfluSaelWJtZFmPPEuyVTAoHna62gBbPtETbb2xM85wu/M6x0/GKoWk/dd3TsztSP1mA==" saltValue="rhrHn+j5g+bvAHRWCQd2K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FUENGIROLA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2118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2784</v>
      </c>
      <c r="Y9" s="374">
        <f>SUM(W9:X9)</f>
        <v>2784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7181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1776</v>
      </c>
      <c r="AJ9" s="243" t="str">
        <f>IF(ISNUMBER(Datos!BW9),Datos!BW9," - ")</f>
        <v xml:space="preserve"> - </v>
      </c>
      <c r="AK9" s="242" t="str">
        <f>IF(ISNUMBER(Datos!BX9),Datos!BX9," - ")</f>
        <v xml:space="preserve"> - </v>
      </c>
      <c r="AL9" s="266">
        <f>IF(ISNUMBER(NºAsuntos!G9/NºAsuntos!E9),NºAsuntos!G9/NºAsuntos!E9," - ")</f>
        <v>0.94733776068973552</v>
      </c>
      <c r="AM9" s="284">
        <f>IF(ISNUMBER(((NºAsuntos!I9/NºAsuntos!G9)*11)/factor_trimestre),((NºAsuntos!I9/NºAsuntos!G9)*11)/factor_trimestre," - ")</f>
        <v>7.578649612593777</v>
      </c>
      <c r="AN9" s="267">
        <f>IF(ISNUMBER('Resol  Asuntos'!D9/NºAsuntos!G9),'Resol  Asuntos'!D9/NºAsuntos!G9," - ")</f>
        <v>0.21842331816504734</v>
      </c>
      <c r="AO9" s="268">
        <f>IF(ISNUMBER((NºAsuntos!C9+NºAsuntos!E9)/NºAsuntos!G9),(NºAsuntos!C9+NºAsuntos!E9)/NºAsuntos!G9," - ")</f>
        <v>1.6517033575206002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86</v>
      </c>
      <c r="G10" s="373">
        <f>IF(ISNUMBER(Datos!I10),Datos!I10," - ")</f>
        <v>100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128</v>
      </c>
      <c r="X10" s="240">
        <f>IF(ISNUMBER(Datos!Q10),Datos!Q10," - ")</f>
        <v>20</v>
      </c>
      <c r="Y10" s="374">
        <f t="shared" ref="Y10:Y13" si="0">SUM(W10:X10)</f>
        <v>148</v>
      </c>
      <c r="Z10" s="375" t="str">
        <f>IF(ISNUMBER(Datos!CC10),Datos!CC10," - ")</f>
        <v xml:space="preserve"> - </v>
      </c>
      <c r="AA10" s="372">
        <f>IF(ISNUMBER(Datos!L10),Datos!L10,"-")</f>
        <v>117</v>
      </c>
      <c r="AB10" s="374">
        <f>IF(ISNUMBER(Datos!R10),Datos!R10," - ")</f>
        <v>77</v>
      </c>
      <c r="AC10" s="374">
        <f t="shared" ref="AC10:AC13" si="1">IF(ISNUMBER(AA10+AB10),AA10+AB10," - ")</f>
        <v>194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44</v>
      </c>
      <c r="AJ10" s="245" t="str">
        <f>IF(ISNUMBER(Datos!BW10),Datos!BW10," - ")</f>
        <v xml:space="preserve"> - </v>
      </c>
      <c r="AK10" s="246" t="str">
        <f>IF(ISNUMBER(Datos!BX10),Datos!BX10," - ")</f>
        <v xml:space="preserve"> - </v>
      </c>
      <c r="AL10" s="266">
        <f>IF(ISNUMBER(NºAsuntos!G10/NºAsuntos!E10),NºAsuntos!G10/NºAsuntos!E10," - ")</f>
        <v>0.80503144654088055</v>
      </c>
      <c r="AM10" s="284">
        <f>IF(ISNUMBER(((NºAsuntos!I10/NºAsuntos!G10)*11)/factor_trimestre),((NºAsuntos!I10/NºAsuntos!G10)*11)/factor_trimestre," - ")</f>
        <v>10.0546875</v>
      </c>
      <c r="AN10" s="267">
        <f>IF(ISNUMBER('Resol  Asuntos'!D10/NºAsuntos!G10),'Resol  Asuntos'!D10/NºAsuntos!G10," - ")</f>
        <v>0.34375</v>
      </c>
      <c r="AO10" s="268">
        <f>IF(ISNUMBER((NºAsuntos!C10+NºAsuntos!E10)/NºAsuntos!G10),(NºAsuntos!C10+NºAsuntos!E10)/NºAsuntos!G10," - ")</f>
        <v>2.0234375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86</v>
      </c>
      <c r="G14" s="1163">
        <f t="shared" si="5"/>
        <v>100</v>
      </c>
      <c r="H14" s="1162">
        <f t="shared" si="5"/>
        <v>0</v>
      </c>
      <c r="I14" s="1164">
        <f t="shared" si="5"/>
        <v>0</v>
      </c>
      <c r="J14" s="1164">
        <f t="shared" si="5"/>
        <v>0</v>
      </c>
      <c r="K14" s="1164">
        <f t="shared" si="5"/>
        <v>0</v>
      </c>
      <c r="L14" s="1164">
        <f t="shared" si="5"/>
        <v>2149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128</v>
      </c>
      <c r="X14" s="1164">
        <f t="shared" si="6"/>
        <v>2804</v>
      </c>
      <c r="Y14" s="1165">
        <f t="shared" si="6"/>
        <v>2932</v>
      </c>
      <c r="Z14" s="1165">
        <f t="shared" si="6"/>
        <v>0</v>
      </c>
      <c r="AA14" s="1165">
        <f t="shared" si="6"/>
        <v>117</v>
      </c>
      <c r="AB14" s="1165">
        <f t="shared" si="6"/>
        <v>7258</v>
      </c>
      <c r="AC14" s="1165">
        <f t="shared" si="6"/>
        <v>194</v>
      </c>
      <c r="AD14" s="1165">
        <f t="shared" si="6"/>
        <v>0</v>
      </c>
      <c r="AE14" s="1169">
        <f t="shared" si="6"/>
        <v>0</v>
      </c>
      <c r="AF14" s="1162">
        <f t="shared" si="6"/>
        <v>0</v>
      </c>
      <c r="AG14" s="1170">
        <f t="shared" si="6"/>
        <v>0</v>
      </c>
      <c r="AH14" s="1167">
        <f t="shared" si="6"/>
        <v>0</v>
      </c>
      <c r="AI14" s="1162">
        <f t="shared" si="6"/>
        <v>1820</v>
      </c>
      <c r="AJ14" s="1164">
        <f t="shared" si="6"/>
        <v>0</v>
      </c>
      <c r="AK14" s="1167">
        <f>SUBTOTAL(9,AK9:AK13)</f>
        <v>0</v>
      </c>
      <c r="AL14" s="1171">
        <f>IF(ISNUMBER(NºAsuntos!G14/NºAsuntos!E14),NºAsuntos!G14/NºAsuntos!E14," - ")</f>
        <v>0.94474948524365132</v>
      </c>
      <c r="AM14" s="1171">
        <f>IF(ISNUMBER(((NºAsuntos!I14/NºAsuntos!G14)*11)/factor_trimestre),((NºAsuntos!I14/NºAsuntos!G14)*11)/factor_trimestre," - ")</f>
        <v>7.6170238527666783</v>
      </c>
      <c r="AN14" s="1172">
        <f>IF(ISNUMBER('Resol  Asuntos'!D14/NºAsuntos!G14),'Resol  Asuntos'!D14/NºAsuntos!G14," - ")</f>
        <v>0.22036566170238528</v>
      </c>
      <c r="AO14" s="1173">
        <f>IF(ISNUMBER((NºAsuntos!C14+NºAsuntos!E14)/NºAsuntos!G14),(NºAsuntos!C14+NºAsuntos!E14)/NºAsuntos!G14," - ")</f>
        <v>1.6574645840900835</v>
      </c>
      <c r="AP14" s="1174" t="str">
        <f t="shared" si="2"/>
        <v xml:space="preserve"> - </v>
      </c>
      <c r="AQ14" s="1174">
        <f>IF(ISNUMBER((H14-W14+K14)/(F14)),(H14-W14+K14)/(F14)," - ")</f>
        <v>-1.4883720930232558</v>
      </c>
      <c r="AR14" s="1175">
        <f>IF(ISNUMBER((Datos!P14-Datos!Q14)/(Datos!R14-Datos!P14+Datos!Q14)),(Datos!P14-Datos!Q14)/(Datos!R14-Datos!P14+Datos!Q14)," - ")</f>
        <v>-8.2775180083407049E-2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1401</v>
      </c>
      <c r="G16" s="373">
        <f>IF(ISNUMBER(IF(D_I="SI",Datos!I16,Datos!I16+Datos!AC16)),IF(D_I="SI",Datos!I16,Datos!I16+Datos!AC16)," - ")</f>
        <v>1180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468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11912</v>
      </c>
      <c r="X16" s="240">
        <f>IF(ISNUMBER(Datos!Q16),Datos!Q16," - ")</f>
        <v>508</v>
      </c>
      <c r="Y16" s="374">
        <f>SUM(W16)</f>
        <v>11912</v>
      </c>
      <c r="Z16" s="375" t="str">
        <f>IF(ISNUMBER(Datos!CC16),Datos!CC16," - ")</f>
        <v xml:space="preserve"> - </v>
      </c>
      <c r="AA16" s="372">
        <f>IF(ISNUMBER(IF(D_I="SI",Datos!L16,Datos!L16+Datos!AF16)),IF(D_I="SI",Datos!L16,Datos!L16+Datos!AF16)," - ")</f>
        <v>1499</v>
      </c>
      <c r="AB16" s="374">
        <f>IF(ISNUMBER(Datos!R16),Datos!R16," - ")</f>
        <v>278</v>
      </c>
      <c r="AC16" s="374">
        <f t="shared" ref="AC16:AC22" si="8">IF(ISNUMBER(AA16+AB16),AA16+AB16," - ")</f>
        <v>1777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1263</v>
      </c>
      <c r="AJ16" s="245" t="str">
        <f>IF(ISNUMBER(Datos!BW16),Datos!BW16," - ")</f>
        <v xml:space="preserve"> - </v>
      </c>
      <c r="AK16" s="246" t="str">
        <f>IF(ISNUMBER(Datos!BX16),Datos!BX16," - ")</f>
        <v xml:space="preserve"> - </v>
      </c>
      <c r="AL16" s="266">
        <f>IF(ISNUMBER(NºAsuntos!G16/NºAsuntos!E16),NºAsuntos!G16/NºAsuntos!E16," - ")</f>
        <v>0.99184013322231479</v>
      </c>
      <c r="AM16" s="284">
        <f>IF(ISNUMBER(((NºAsuntos!I16/NºAsuntos!G16)*11)/factor_trimestre),((NºAsuntos!I16/NºAsuntos!G16)*11)/factor_trimestre," - ")</f>
        <v>1.3842343854936199</v>
      </c>
      <c r="AN16" s="267">
        <f>IF(ISNUMBER('Resol  Asuntos'!D16/NºAsuntos!G16),'Resol  Asuntos'!D16/NºAsuntos!G16," - ")</f>
        <v>0.10602753525856279</v>
      </c>
      <c r="AO16" s="268">
        <f>IF(ISNUMBER((NºAsuntos!C16+NºAsuntos!E16)/NºAsuntos!G16),(NºAsuntos!C16+NºAsuntos!E16)/NºAsuntos!G16," - ")</f>
        <v>1.1072867696440565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1012</v>
      </c>
      <c r="X18" s="240">
        <f>IF(ISNUMBER(Datos!Q18),Datos!Q18," - ")</f>
        <v>17</v>
      </c>
      <c r="Y18" s="374">
        <f t="shared" si="9"/>
        <v>1029</v>
      </c>
      <c r="Z18" s="375" t="str">
        <f>IF(ISNUMBER(Datos!CC18),Datos!CC18," - ")</f>
        <v xml:space="preserve"> - </v>
      </c>
      <c r="AA18" s="372">
        <f>IF(ISNUMBER(Datos!L18),Datos!L18,"-")</f>
        <v>301</v>
      </c>
      <c r="AB18" s="374">
        <f>IF(ISNUMBER(Datos!R18),Datos!R18," - ")</f>
        <v>2</v>
      </c>
      <c r="AC18" s="374">
        <f t="shared" si="8"/>
        <v>303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91</v>
      </c>
      <c r="AJ18" s="245" t="str">
        <f>IF(ISNUMBER(Datos!BW18),Datos!BW18," - ")</f>
        <v xml:space="preserve"> - </v>
      </c>
      <c r="AK18" s="246" t="str">
        <f>IF(ISNUMBER(Datos!BX18),Datos!BX18," - ")</f>
        <v xml:space="preserve"> - </v>
      </c>
      <c r="AL18" s="266">
        <f>IF(ISNUMBER(NºAsuntos!G18/NºAsuntos!E18),NºAsuntos!G18/NºAsuntos!E18," - ")</f>
        <v>0.95471698113207548</v>
      </c>
      <c r="AM18" s="284">
        <f>IF(ISNUMBER(((NºAsuntos!I18/NºAsuntos!G18)*11)/factor_trimestre),((NºAsuntos!I18/NºAsuntos!G18)*11)/factor_trimestre," - ")</f>
        <v>3.2717391304347827</v>
      </c>
      <c r="AN18" s="267">
        <f>IF(ISNUMBER('Resol  Asuntos'!D18/NºAsuntos!G18),'Resol  Asuntos'!D18/NºAsuntos!G18," - ")</f>
        <v>8.9920948616600785E-2</v>
      </c>
      <c r="AO18" s="268">
        <f>IF(ISNUMBER((NºAsuntos!C18+NºAsuntos!E18)/NºAsuntos!G18),(NºAsuntos!C18+NºAsuntos!E18)/NºAsuntos!G18," - ")</f>
        <v>1.2895256916996047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1401</v>
      </c>
      <c r="G23" s="1163">
        <f>SUBTOTAL(9,G16:G22)</f>
        <v>1425</v>
      </c>
      <c r="H23" s="1162">
        <f t="shared" ref="H23:O23" si="13">SUBTOTAL(9,H15:H22)</f>
        <v>0</v>
      </c>
      <c r="I23" s="1164">
        <f t="shared" si="13"/>
        <v>0</v>
      </c>
      <c r="J23" s="1164">
        <f t="shared" si="13"/>
        <v>0</v>
      </c>
      <c r="K23" s="1164">
        <f t="shared" si="13"/>
        <v>0</v>
      </c>
      <c r="L23" s="1164">
        <f t="shared" si="13"/>
        <v>479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12924</v>
      </c>
      <c r="X23" s="1164">
        <f t="shared" si="14"/>
        <v>525</v>
      </c>
      <c r="Y23" s="1165">
        <f t="shared" si="14"/>
        <v>12941</v>
      </c>
      <c r="Z23" s="1165">
        <f t="shared" si="14"/>
        <v>0</v>
      </c>
      <c r="AA23" s="1165">
        <f t="shared" si="14"/>
        <v>1800</v>
      </c>
      <c r="AB23" s="1165">
        <f t="shared" si="14"/>
        <v>280</v>
      </c>
      <c r="AC23" s="1165">
        <f t="shared" si="14"/>
        <v>2080</v>
      </c>
      <c r="AD23" s="1165">
        <f t="shared" si="14"/>
        <v>0</v>
      </c>
      <c r="AE23" s="1169">
        <f t="shared" si="14"/>
        <v>0</v>
      </c>
      <c r="AF23" s="1162">
        <f t="shared" si="14"/>
        <v>0</v>
      </c>
      <c r="AG23" s="1170">
        <f t="shared" si="14"/>
        <v>0</v>
      </c>
      <c r="AH23" s="1167">
        <f t="shared" si="14"/>
        <v>0</v>
      </c>
      <c r="AI23" s="1162">
        <f t="shared" si="14"/>
        <v>1354</v>
      </c>
      <c r="AJ23" s="1164">
        <f t="shared" si="14"/>
        <v>0</v>
      </c>
      <c r="AK23" s="1167">
        <f t="shared" si="14"/>
        <v>0</v>
      </c>
      <c r="AL23" s="1171">
        <f>IF(ISNUMBER(NºAsuntos!G23/NºAsuntos!E23),NºAsuntos!G23/NºAsuntos!E23," - ")</f>
        <v>0.98882938026013767</v>
      </c>
      <c r="AM23" s="1171">
        <f>IF(ISNUMBER(((NºAsuntos!I23/NºAsuntos!G23)*11)/factor_trimestre),((NºAsuntos!I23/NºAsuntos!G23)*11)/factor_trimestre," - ")</f>
        <v>1.532033426183844</v>
      </c>
      <c r="AN23" s="1172">
        <f>IF(ISNUMBER('Resol  Asuntos'!D23/NºAsuntos!G23),'Resol  Asuntos'!D23/NºAsuntos!G23," - ")</f>
        <v>0.10476632621479418</v>
      </c>
      <c r="AO23" s="1173">
        <f>IF(ISNUMBER((NºAsuntos!C23+NºAsuntos!E23)/NºAsuntos!G23),(NºAsuntos!C23+NºAsuntos!E23)/NºAsuntos!G23," - ")</f>
        <v>1.1215567935623645</v>
      </c>
      <c r="AP23" s="1174" t="str">
        <f t="shared" si="2"/>
        <v xml:space="preserve"> - </v>
      </c>
      <c r="AQ23" s="1174">
        <f>IF(ISNUMBER((H23-W23+K23)/(F23)),(H23-W23+K23)/(F23)," - ")</f>
        <v>-9.2248394004282659</v>
      </c>
      <c r="AR23" s="1175">
        <f>IF(ISNUMBER((Datos!P23-Datos!Q23)/(Datos!R23-Datos!P23+Datos!Q23)),(Datos!P23-Datos!Q23)/(Datos!R23-Datos!P23+Datos!Q23)," - ")</f>
        <v>-0.1411042944785276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1487</v>
      </c>
      <c r="G31" s="1118">
        <f t="shared" si="20"/>
        <v>1525</v>
      </c>
      <c r="H31" s="1117">
        <f t="shared" si="20"/>
        <v>0</v>
      </c>
      <c r="I31" s="1119">
        <f t="shared" si="20"/>
        <v>0</v>
      </c>
      <c r="J31" s="1119">
        <f t="shared" si="20"/>
        <v>0</v>
      </c>
      <c r="K31" s="1180">
        <f t="shared" si="20"/>
        <v>0</v>
      </c>
      <c r="L31" s="1119">
        <f t="shared" si="20"/>
        <v>2628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13052</v>
      </c>
      <c r="X31" s="1118">
        <f t="shared" si="21"/>
        <v>3329</v>
      </c>
      <c r="Y31" s="1125">
        <f t="shared" si="21"/>
        <v>15873</v>
      </c>
      <c r="Z31" s="1125">
        <f t="shared" si="21"/>
        <v>0</v>
      </c>
      <c r="AA31" s="1125">
        <f t="shared" si="21"/>
        <v>1917</v>
      </c>
      <c r="AB31" s="1125">
        <f t="shared" si="21"/>
        <v>7538</v>
      </c>
      <c r="AC31" s="1125">
        <f t="shared" si="21"/>
        <v>2274</v>
      </c>
      <c r="AD31" s="1125">
        <f t="shared" si="21"/>
        <v>0</v>
      </c>
      <c r="AE31" s="1127">
        <f t="shared" si="21"/>
        <v>0</v>
      </c>
      <c r="AF31" s="1128">
        <f t="shared" si="21"/>
        <v>0</v>
      </c>
      <c r="AG31" s="1129">
        <f t="shared" si="21"/>
        <v>0</v>
      </c>
      <c r="AH31" s="1127">
        <f t="shared" si="21"/>
        <v>0</v>
      </c>
      <c r="AI31" s="1117">
        <f t="shared" si="21"/>
        <v>3174</v>
      </c>
      <c r="AJ31" s="1117">
        <f t="shared" si="21"/>
        <v>0</v>
      </c>
      <c r="AK31" s="1127">
        <f t="shared" si="21"/>
        <v>0</v>
      </c>
      <c r="AL31" s="1183">
        <f>IF(ISNUMBER(NºAsuntos!G31/NºAsuntos!E31),NºAsuntos!G31/NºAsuntos!E31," - ")</f>
        <v>0.97116266275444707</v>
      </c>
      <c r="AM31" s="1184">
        <f>IF(ISNUMBER(((NºAsuntos!I31/NºAsuntos!G31)*11)/factor_trimestre),((NºAsuntos!I31/NºAsuntos!G31)*11)/factor_trimestre," - ")</f>
        <v>3.9044988906198363</v>
      </c>
      <c r="AN31" s="1184">
        <f>IF(ISNUMBER('Resol  Asuntos'!D31/NºAsuntos!G31),'Resol  Asuntos'!D31/NºAsuntos!G31," - ")</f>
        <v>0.14983713355048861</v>
      </c>
      <c r="AO31" s="1185">
        <f>IF(ISNUMBER((NºAsuntos!C31+NºAsuntos!E31)/NºAsuntos!G31),(NºAsuntos!C31+NºAsuntos!E31)/NºAsuntos!G31," - ")</f>
        <v>1.3305008733418306</v>
      </c>
      <c r="AP31" s="1186" t="str">
        <f t="shared" si="2"/>
        <v xml:space="preserve"> - </v>
      </c>
      <c r="AQ31" s="1187">
        <f>IF(OR(ISNUMBER(FIND("01",Criterios!A8,1)),ISNUMBER(FIND("02",Criterios!A8,1)),ISNUMBER(FIND("03",Criterios!A8,1)),ISNUMBER(FIND("04",Criterios!A8,1))),(I31-W31+K31)/(F31-K31),(H31-W31+K31)/(F31-K31))</f>
        <v>-8.7774041694687295</v>
      </c>
      <c r="AR31" s="1188">
        <f>IF(ISNUMBER((Datos!P31-Datos!Q31)/(Datos!R31-Datos!P31+Datos!Q31)),(Datos!P31-Datos!Q31)/(Datos!R31-Datos!P31+Datos!Q31)," - ")</f>
        <v>-8.5083141157907508E-2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435.71428571428572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2.0886773564663366</v>
      </c>
      <c r="F33" s="276">
        <f>IF(ISNUMBER(STDEV(F8:F30)),STDEV(F8:F30),"-")</f>
        <v>702.32205338196991</v>
      </c>
      <c r="G33" s="277">
        <f>IF(ISNUMBER(STDEV(G8:G30)),STDEV(G8:G30),"-")</f>
        <v>601.95811434731195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5953.1068479288306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833.93559189458483</v>
      </c>
      <c r="AJ33" s="276">
        <f t="shared" si="25"/>
        <v>0</v>
      </c>
      <c r="AK33" s="278">
        <f t="shared" si="25"/>
        <v>0</v>
      </c>
      <c r="AL33" s="273">
        <f t="shared" si="25"/>
        <v>6.8661264262818059E-2</v>
      </c>
      <c r="AM33" s="274">
        <f t="shared" si="25"/>
        <v>3.654879891953168</v>
      </c>
      <c r="AN33" s="274">
        <f t="shared" si="25"/>
        <v>9.9160781267506215E-2</v>
      </c>
      <c r="AO33" s="275">
        <f t="shared" si="25"/>
        <v>0.36327311297942766</v>
      </c>
      <c r="AP33" s="317" t="str">
        <f t="shared" si="25"/>
        <v>-</v>
      </c>
      <c r="AQ33" s="318">
        <f t="shared" si="25"/>
        <v>5.4705084954941139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Zv9UqGR8aWpb7vXlOMbLohFW6F1a+bFPoLZcCGEZ22lO+NDzPZzWwfvnd8yPtgTmnWp941yRMvukQ0apXFeRA==" saltValue="QzSOsv/r3xNjRBjimY1F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FUENGIROLA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-0.10348308934881373</v>
      </c>
      <c r="I9" s="395">
        <f>IF(ISNUMBER((Tasas!C9-Datos!BE9)/Datos!BE9),(Tasas!C9-Datos!BE9)/Datos!BE9," - ")</f>
        <v>0.30160538857252311</v>
      </c>
      <c r="J9" s="394">
        <f>IF(ISNUMBER((Tasas!D9-Datos!BF9)/Datos!BF9),(Tasas!D9-Datos!BF9)/Datos!BF9," - ")</f>
        <v>-0.4634918657625165</v>
      </c>
      <c r="K9" s="396">
        <f>IF(ISNUMBER((Tasas!E9-Datos!BG9)/Datos!BG9),(Tasas!E9-Datos!BG9)/Datos!BG9," - ")</f>
        <v>9.1480670045185522E-2</v>
      </c>
      <c r="M9" t="e">
        <f>IF(Monitorios="SI",Datos!CE9,0)</f>
        <v>#REF!</v>
      </c>
      <c r="N9" t="e">
        <f>IF(Monitorios="SI",Datos!CF9,0)</f>
        <v>#REF!</v>
      </c>
      <c r="O9" t="e">
        <f>IF(Monitorios="SI",Datos!CG9,0)</f>
        <v>#REF!</v>
      </c>
      <c r="P9" t="e">
        <f>IF(Monitorios="SI",Datos!CH9,0)</f>
        <v>#REF!</v>
      </c>
      <c r="Q9">
        <f>IF(J_V="SI",0,Datos!AG9)</f>
        <v>138</v>
      </c>
      <c r="R9">
        <f>IF(J_V="SI",0,Datos!AH9)</f>
        <v>573</v>
      </c>
      <c r="S9">
        <f>IF(J_V="SI",0,Datos!AI9)</f>
        <v>610</v>
      </c>
      <c r="T9">
        <f>IF(J_V="SI",0,Datos!AJ9)</f>
        <v>89</v>
      </c>
    </row>
    <row r="10" spans="2:20" ht="14.25">
      <c r="B10" s="300" t="s">
        <v>321</v>
      </c>
      <c r="C10" s="7" t="str">
        <f>Datos!A10</f>
        <v>Jdos. Violencia contra la mujer</v>
      </c>
      <c r="D10" s="397">
        <f>IF(ISNUMBER((Datos!I10-Datos!S10)/Datos!S10),(Datos!I10-Datos!S10)/Datos!S10," - ")</f>
        <v>0.42857142857142855</v>
      </c>
      <c r="E10" s="393">
        <f>IF(ISNUMBER((Datos!J10-Datos!T10)/Datos!T10),(Datos!J10-Datos!T10)/Datos!T10," - ")</f>
        <v>0.06</v>
      </c>
      <c r="F10" s="393">
        <f>IF(ISNUMBER((Datos!K10-Datos!U10)/Datos!U10),(Datos!K10-Datos!U10)/Datos!U10," - ")</f>
        <v>6.6666666666666666E-2</v>
      </c>
      <c r="G10" s="394">
        <f>IF(ISNUMBER((Datos!L10-Datos!V10)/Datos!V10),(Datos!L10-Datos!V10)/Datos!V10," - ")</f>
        <v>0.17</v>
      </c>
      <c r="H10" s="244">
        <f>IF(ISNUMBER((Datos!M10-Datos!W10)/Datos!W10),(Datos!M10-Datos!W10)/Datos!W10," - ")</f>
        <v>7.3170731707317069E-2</v>
      </c>
      <c r="I10" s="395">
        <f>IF(ISNUMBER((Tasas!C10-Datos!BE10)/Datos!BE10),(Tasas!C10-Datos!BE10)/Datos!BE10," - ")</f>
        <v>9.6874999999999947E-2</v>
      </c>
      <c r="J10" s="394">
        <f>IF(ISNUMBER((Tasas!D10-Datos!BF10)/Datos!BF10),(Tasas!D10-Datos!BF10)/Datos!BF10," - ")</f>
        <v>6.0975609756097346E-3</v>
      </c>
      <c r="K10" s="396">
        <f>IF(ISNUMBER((Tasas!E10-Datos!BG10)/Datos!BG10),(Tasas!E10-Datos!BG10)/Datos!BG10," - ")</f>
        <v>0.10369318181818186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-9.9901088031651833E-2</v>
      </c>
      <c r="I14" s="402">
        <f>IF(ISNUMBER((Tasas!C14-Datos!BE14)/Datos!BE14),(Tasas!C14-Datos!BE14)/Datos!BE14," - ")</f>
        <v>0.29854880427286457</v>
      </c>
      <c r="J14" s="400">
        <f>IF(ISNUMBER((Tasas!D14-Datos!BF14)/Datos!BF14),(Tasas!D14-Datos!BF14)/Datos!BF14," - ")</f>
        <v>-0.45759293085353453</v>
      </c>
      <c r="K14" s="403">
        <f>IF(ISNUMBER((Tasas!E14-Datos!BG14)/Datos!BG14),(Tasas!E14-Datos!BG14)/Datos!BG14," - ")</f>
        <v>9.2299420800149468E-2</v>
      </c>
      <c r="M14" t="e">
        <f>IF(Monitorios="SI",Datos!CE14,0)</f>
        <v>#REF!</v>
      </c>
      <c r="N14" t="e">
        <f>IF(Monitorios="SI",Datos!CF14,0)</f>
        <v>#REF!</v>
      </c>
      <c r="O14" t="e">
        <f>IF(Monitorios="SI",Datos!CG14,0)</f>
        <v>#REF!</v>
      </c>
      <c r="P14" t="e">
        <f>IF(Monitorios="SI",Datos!CH14,0)</f>
        <v>#REF!</v>
      </c>
      <c r="Q14">
        <f>IF(J_V="SI",0,Datos!AG14)</f>
        <v>138</v>
      </c>
      <c r="R14">
        <f>IF(J_V="SI",0,Datos!AH14)</f>
        <v>573</v>
      </c>
      <c r="S14">
        <f>IF(J_V="SI",0,Datos!AI14)</f>
        <v>610</v>
      </c>
      <c r="T14">
        <f>IF(J_V="SI",0,Datos!AJ14)</f>
        <v>89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-6.1256961018297536E-2</v>
      </c>
      <c r="E16" s="393">
        <f>IF(ISNUMBER(
   IF(D_I="SI",(Datos!J16-Datos!T16)/Datos!T16,(Datos!J16+Datos!AD16-(Datos!T16+Datos!AL16))/(Datos!T16+Datos!AL16))
     ),IF(D_I="SI",(Datos!J16-Datos!T16)/Datos!T16,(Datos!J16+Datos!AD16-(Datos!T16+Datos!AL16))/(Datos!T16+Datos!AL16))," - ")</f>
        <v>0.10052231283789975</v>
      </c>
      <c r="F16" s="393">
        <f>IF(ISNUMBER(
   IF(D_I="SI",(Datos!K16-Datos!U16)/Datos!U16,(Datos!K16+Datos!AE16-(Datos!U16+Datos!AM16))/(Datos!U16+Datos!AM16))
     ),IF(D_I="SI",(Datos!K16-Datos!U16)/Datos!U16,(Datos!K16+Datos!AE16-(Datos!U16+Datos!AM16))/(Datos!U16+Datos!AM16))," - ")</f>
        <v>6.3951411218292245E-2</v>
      </c>
      <c r="G16" s="394">
        <f>IF(ISNUMBER(
   IF(D_I="SI",(Datos!L16-Datos!V16)/Datos!V16,(Datos!L16+Datos!AF16-(Datos!V16+Datos!AN16))/(Datos!V16+Datos!AN16))
     ),IF(D_I="SI",(Datos!L16-Datos!V16)/Datos!V16,(Datos!L16+Datos!AF16-(Datos!V16+Datos!AN16))/(Datos!V16+Datos!AN16))," - ")</f>
        <v>0.27033898305084747</v>
      </c>
      <c r="H16" s="244">
        <f>IF(ISNUMBER((Datos!M16-Datos!W16)/Datos!W16),(Datos!M16-Datos!W16)/Datos!W16," - ")</f>
        <v>-1.4820592823712949E-2</v>
      </c>
      <c r="I16" s="395">
        <f>IF(ISNUMBER((Tasas!C16-Datos!BE16)/Datos!BE16),(Tasas!C16-Datos!BE16)/Datos!BE16," - ")</f>
        <v>0.1939821402146818</v>
      </c>
      <c r="J16" s="394">
        <f>IF(ISNUMBER((Tasas!D16-Datos!BF16)/Datos!BF16),(Tasas!D16-Datos!BF16)/Datos!BF16," - ")</f>
        <v>-7.4037219379977356E-2</v>
      </c>
      <c r="K16" s="396">
        <f>IF(ISNUMBER((Tasas!E16-Datos!BG16)/Datos!BG16),(Tasas!E16-Datos!BG16)/Datos!BG16," - ")</f>
        <v>1.8667434094893742E-2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-6.8441064638783272E-2</v>
      </c>
      <c r="E18" s="393">
        <f>IF(ISNUMBER(
   IF(D_I="SI",(Datos!J18-Datos!T18)/Datos!T18,(Datos!J18+Datos!AD18-(Datos!T18+Datos!AL18))/(Datos!T18+Datos!AL18))
     ),IF(D_I="SI",(Datos!J18-Datos!T18)/Datos!T18,(Datos!J18+Datos!AD18-(Datos!T18+Datos!AL18))/(Datos!T18+Datos!AL18))," - ")</f>
        <v>7.7235772357723581E-2</v>
      </c>
      <c r="F18" s="393">
        <f>IF(ISNUMBER(
   IF(D_I="SI",(Datos!K18-Datos!U18)/Datos!U18,(Datos!K18+Datos!AE18-(Datos!U18+Datos!AM18))/(Datos!U18+Datos!AM18))
     ),IF(D_I="SI",(Datos!K18-Datos!U18)/Datos!U18,(Datos!K18+Datos!AE18-(Datos!U18+Datos!AM18))/(Datos!U18+Datos!AM18))," - ")</f>
        <v>9.8911968348170125E-4</v>
      </c>
      <c r="G18" s="394">
        <f>IF(ISNUMBER(
   IF(D_I="SI",(Datos!L18-Datos!V18)/Datos!V18,(Datos!L18+Datos!AF18-(Datos!V18+Datos!AN18))/(Datos!V18+Datos!AN18))
     ),IF(D_I="SI",(Datos!L18-Datos!V18)/Datos!V18,(Datos!L18+Datos!AF18-(Datos!V18+Datos!AN18))/(Datos!V18+Datos!AN18))," - ")</f>
        <v>0.22857142857142856</v>
      </c>
      <c r="H18" s="244">
        <f>IF(ISNUMBER((Datos!M18-Datos!W18)/Datos!W18),(Datos!M18-Datos!W18)/Datos!W18," - ")</f>
        <v>-0.20175438596491227</v>
      </c>
      <c r="I18" s="395">
        <f>IF(ISNUMBER((Tasas!C18-Datos!BE18)/Datos!BE18),(Tasas!C18-Datos!BE18)/Datos!BE18," - ")</f>
        <v>0.22735742518351218</v>
      </c>
      <c r="J18" s="394">
        <f>IF(ISNUMBER((Tasas!D18-Datos!BF18)/Datos!BF18),(Tasas!D18-Datos!BF18)/Datos!BF18," - ")</f>
        <v>-0.2025431662159351</v>
      </c>
      <c r="K18" s="396">
        <f>IF(ISNUMBER((Tasas!E18-Datos!BG18)/Datos!BG18),(Tasas!E18-Datos!BG18)/Datos!BG18," - ")</f>
        <v>4.5477525507859183E-2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-6.25E-2</v>
      </c>
      <c r="E23" s="399">
        <f>IF(ISNUMBER(
   IF(D_I="SI",(Datos!J23-Datos!T23)/Datos!T23,(Datos!J23+Datos!AD23-(Datos!T23+Datos!AL23))/(Datos!T23+Datos!AL23))
     ),IF(D_I="SI",(Datos!J23-Datos!T23)/Datos!T23,(Datos!J23+Datos!AD23-(Datos!T23+Datos!AL23))/(Datos!T23+Datos!AL23))," - ")</f>
        <v>9.8596284777675042E-2</v>
      </c>
      <c r="F23" s="399">
        <f>IF(ISNUMBER(
   IF(D_I="SI",(Datos!K23-Datos!U23)/Datos!U23,(Datos!K23+Datos!AE23-(Datos!U23+Datos!AM23))/(Datos!U23+Datos!AM23))
     ),IF(D_I="SI",(Datos!K23-Datos!U23)/Datos!U23,(Datos!K23+Datos!AE23-(Datos!U23+Datos!AM23))/(Datos!U23+Datos!AM23))," - ")</f>
        <v>5.8736790366183338E-2</v>
      </c>
      <c r="G23" s="400">
        <f>IF(ISNUMBER(
   IF(D_I="SI",(Datos!L23-Datos!V23)/Datos!V23,(Datos!L23+Datos!AF23-(Datos!V23+Datos!AN23))/(Datos!V23+Datos!AN23))
     ),IF(D_I="SI",(Datos!L23-Datos!V23)/Datos!V23,(Datos!L23+Datos!AF23-(Datos!V23+Datos!AN23))/(Datos!V23+Datos!AN23))," - ")</f>
        <v>0.26315789473684209</v>
      </c>
      <c r="H23" s="401">
        <f>IF(ISNUMBER((Datos!M23-Datos!W23)/Datos!W23),(Datos!M23-Datos!W23)/Datos!W23," - ")</f>
        <v>-3.0085959885386818E-2</v>
      </c>
      <c r="I23" s="402">
        <f>IF(ISNUMBER((Tasas!C23-Datos!BE23)/Datos!BE23),(Tasas!C23-Datos!BE23)/Datos!BE23," - ")</f>
        <v>0.19308019352001171</v>
      </c>
      <c r="J23" s="400">
        <f>IF(ISNUMBER((Tasas!D23-Datos!BF23)/Datos!BF23),(Tasas!D23-Datos!BF23)/Datos!BF23," - ")</f>
        <v>-8.3895025713472376E-2</v>
      </c>
      <c r="K23" s="403">
        <f>IF(ISNUMBER((Tasas!E23-Datos!BG23)/Datos!BG23),(Tasas!E23-Datos!BG23)/Datos!BG23," - ")</f>
        <v>2.041020936243439E-2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-0.10367140244760163</v>
      </c>
      <c r="E31" s="409">
        <f>IF(ISNUMBER(
   IF(J_V="SI",(Datos!J31-Datos!T31)/Datos!T31,(Datos!J31+Datos!Z31-(Datos!T31+Datos!AH31))/(Datos!T31+Datos!AH31))
     ),IF(J_V="SI",(Datos!J31-Datos!T31)/Datos!T31,(Datos!J31+Datos!Z31-(Datos!T31+Datos!AH31))/(Datos!T31+Datos!AH31))," - ")</f>
        <v>7.0002452783909735E-2</v>
      </c>
      <c r="F31" s="409">
        <f>IF(ISNUMBER(
   IF(J_V="SI",(Datos!K31-Datos!U31)/Datos!U31,(Datos!K31+Datos!AA31-(Datos!U31+Datos!AI31))/(Datos!U31+Datos!AI31))
     ),IF(J_V="SI",(Datos!K31-Datos!U31)/Datos!U31,(Datos!K31+Datos!AA31-(Datos!U31+Datos!AI31))/(Datos!U31+Datos!AI31))," - ")</f>
        <v>-1.4010426363805622E-2</v>
      </c>
      <c r="G31" s="410">
        <f>IF(ISNUMBER(
   IF(J_V="SI",(Datos!L31-Datos!V31)/Datos!V31,(Datos!L31+Datos!AB31-(Datos!V31+Datos!AJ31))/(Datos!V31+Datos!AJ31))
     ),IF(J_V="SI",(Datos!L31-Datos!V31)/Datos!V31,(Datos!L31+Datos!AB31-(Datos!V31+Datos!AJ31))/(Datos!V31+Datos!AJ31))," - ")</f>
        <v>0.18000627746390457</v>
      </c>
      <c r="H31" s="411">
        <f>IF(ISNUMBER((Datos!M31-Datos!W31)/Datos!W31),(Datos!M31-Datos!W31)/Datos!W31," - ")</f>
        <v>-7.1386775892334692E-2</v>
      </c>
      <c r="I31" s="408">
        <f>IF(ISNUMBER((Tasas!C31-Datos!BE31)/Datos!BE31),(Tasas!C31-Datos!BE31)/Datos!BE31," - ")</f>
        <v>0.1967735856599408</v>
      </c>
      <c r="J31" s="409">
        <f>IF(ISNUMBER((Tasas!D31-Datos!BF31)/Datos!BF31),(Tasas!D31-Datos!BF31)/Datos!BF31," - ")</f>
        <v>-0.3767471486546568</v>
      </c>
      <c r="K31" s="410">
        <f>IF(ISNUMBER((Tasas!E31-Datos!BG31)/Datos!BG31),(Tasas!E31-Datos!BG31)/Datos!BG31," - ")</f>
        <v>3.9662499559026974E-2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0.24633866768368248</v>
      </c>
      <c r="E33" s="303">
        <f t="shared" si="1"/>
        <v>1.9215980605574636E-2</v>
      </c>
      <c r="F33" s="303">
        <f t="shared" si="1"/>
        <v>3.1238373334787628E-2</v>
      </c>
      <c r="G33" s="304">
        <f t="shared" si="1"/>
        <v>4.5797777779743074E-2</v>
      </c>
      <c r="H33" s="310">
        <f t="shared" si="1"/>
        <v>9.4021483463559069E-2</v>
      </c>
      <c r="I33" s="302">
        <f t="shared" si="1"/>
        <v>7.6723750818337696E-2</v>
      </c>
      <c r="J33" s="303">
        <f t="shared" si="1"/>
        <v>0.20330402799323993</v>
      </c>
      <c r="K33" s="304">
        <f t="shared" si="1"/>
        <v>3.8486101904404206E-2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ORQeJvZCbktWrpC0cgVcv0j1YbqldvcDlPHpfwgchwbLsavT1pTib9lw92RVQirMQkVgKzyy/A+sRtLFiq5mg==" saltValue="vQD61o+6XsUr3cZaZQOoy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